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i.khadiv\Desktop\CALCSTRESS\original-Calculation Sheets\Distribution\Issue Date 4-July-2015\"/>
    </mc:Choice>
  </mc:AlternateContent>
  <bookViews>
    <workbookView xWindow="240" yWindow="255" windowWidth="16605" windowHeight="7815"/>
  </bookViews>
  <sheets>
    <sheet name="MainPage" sheetId="13" r:id="rId1"/>
    <sheet name="Von_Mises" sheetId="24" state="hidden" r:id="rId2"/>
    <sheet name="Sheet1" sheetId="14" state="hidden" r:id="rId3"/>
    <sheet name="Trunnion" sheetId="16" state="hidden" r:id="rId4"/>
    <sheet name="Structure A" sheetId="17" state="hidden" r:id="rId5"/>
    <sheet name="Structure B" sheetId="18" state="hidden" r:id="rId6"/>
    <sheet name="Structure C" sheetId="19" state="hidden" r:id="rId7"/>
    <sheet name="Saddle_Zick" sheetId="20" state="hidden" r:id="rId8"/>
    <sheet name="Saddle Roak" sheetId="7" state="hidden" r:id="rId9"/>
    <sheet name="Bare Pipe_Roark" sheetId="22" state="hidden" r:id="rId10"/>
    <sheet name="Bare Pipe_combination" sheetId="23" state="hidden" r:id="rId11"/>
    <sheet name="Saddle_zick Validation" sheetId="25" state="hidden" r:id="rId12"/>
  </sheets>
  <definedNames>
    <definedName name="B_STRB">MainPage!$M$27</definedName>
    <definedName name="B_STRB_Increment">MainPage!$I$75</definedName>
    <definedName name="BareAngle_at_B_Roark">MainPage!$M$44</definedName>
    <definedName name="BareAngle_at_B_Roark_Rad">'Bare Pipe_Roark'!$B$2</definedName>
    <definedName name="beff_Bare_Roark">'Bare Pipe_Roark'!$B$3</definedName>
    <definedName name="Bet">'Saddle_zick Validation'!$B$2</definedName>
    <definedName name="Beta">Saddle_Zick!$B$2</definedName>
    <definedName name="Beta_Deg">MainPage!$N$94</definedName>
    <definedName name="BetaA">Saddle_Zick!$M$2</definedName>
    <definedName name="Corr">MainPage!$E$7</definedName>
    <definedName name="D">MainPage!$E$4</definedName>
    <definedName name="d_Trunion">MainPage!$E$24</definedName>
    <definedName name="d_Trunnion_Increment">MainPage!$I$56</definedName>
    <definedName name="Deg_to_Rad">Saddle_Zick!$B$1</definedName>
    <definedName name="FA_EXP">MainPage!$M$9</definedName>
    <definedName name="FA_SUS">MainPage!$L$9</definedName>
    <definedName name="FC_EXP">MainPage!$M$11</definedName>
    <definedName name="FC_SUS">MainPage!$L$11</definedName>
    <definedName name="FL_EXP">MainPage!$M$10</definedName>
    <definedName name="FL_SUS">MainPage!$L$10</definedName>
    <definedName name="H_STRA">MainPage!$I$28</definedName>
    <definedName name="H_STRB">MainPage!$M$28</definedName>
    <definedName name="H_STRC">MainPage!$Q$28</definedName>
    <definedName name="H_Trunnion">MainPage!$E$26</definedName>
    <definedName name="L_STRA">MainPage!$I$24</definedName>
    <definedName name="L_STRA_Increment">MainPage!$Q$56</definedName>
    <definedName name="L_STRB">MainPage!$M$24</definedName>
    <definedName name="L_STRC">MainPage!$Q$24</definedName>
    <definedName name="Load_Case">Trunnion!$A$2</definedName>
    <definedName name="M">'Saddle_zick Validation'!$B$10</definedName>
    <definedName name="Max_SC_bend_BareComb_exp">'Bare Pipe_combination'!$D$5</definedName>
    <definedName name="Max_SC_bend_BareComb_SUS">'Bare Pipe_combination'!$A$5</definedName>
    <definedName name="Max_SC_bend_BareRoark_EXP">'Bare Pipe_Roark'!$J$3</definedName>
    <definedName name="Max_SC_bend_BareRoark_SUS">'Bare Pipe_Roark'!$G$1</definedName>
    <definedName name="Max_SC_bending_ZICK_EXP">Saddle_Zick!$V$3</definedName>
    <definedName name="Max_SC_bending_ZICK_SUS">Saddle_Zick!$R$3</definedName>
    <definedName name="Max_SC_mem_BareComb_EXP">'Bare Pipe_combination'!$E$5</definedName>
    <definedName name="Max_SC_mem_BareComb_SUS">'Bare Pipe_combination'!$B$5</definedName>
    <definedName name="Max_SC_mem_BareRoark_EXP">'Bare Pipe_Roark'!$J$4</definedName>
    <definedName name="Max_SC_mem_BareRoark_SUS">'Bare Pipe_Roark'!$G$2</definedName>
    <definedName name="Max_SC_membrane_ZICK_EXP">Saddle_Zick!$U$3</definedName>
    <definedName name="Max_SC_membrane_ZICK_SUS">Saddle_Zick!$Q$3</definedName>
    <definedName name="Max_SC_Rork_EXP">'Saddle Roak'!$C$5</definedName>
    <definedName name="Max_SC_Rork_SUS">'Saddle Roak'!$B$5</definedName>
    <definedName name="Max_SC_STRUCTUREA_EXP">MainPage!$I$33</definedName>
    <definedName name="Max_SC_STRUCTUREA_SUS">MainPage!$I$31</definedName>
    <definedName name="Max_SC_STRUCTUREB_EXP">MainPage!$M$33</definedName>
    <definedName name="Max_SC_STRUCTUREB_SUS">MainPage!$M$31</definedName>
    <definedName name="Max_SC_STRUCTUREC_EXP">MainPage!$Q$33</definedName>
    <definedName name="Max_SC_STRUCTUREC_SUS">MainPage!$Q$31</definedName>
    <definedName name="Max_SC_TRUNNION_EXP">MainPage!$E$33</definedName>
    <definedName name="Max_SC_TRUNNION_SUS">MainPage!$E$31</definedName>
    <definedName name="Max_SL_STRUCTUREA_EXP">MainPage!$I$32</definedName>
    <definedName name="Max_SL_STRUCTUREA_SUS">MainPage!$I$30</definedName>
    <definedName name="Max_SL_STRUCTUREB_EXP">MainPage!$M$32</definedName>
    <definedName name="Max_SL_STRUCTUREB_SUS">MainPage!$M$30</definedName>
    <definedName name="Max_SL_STRUCTUREC_EXP">MainPage!$Q$32</definedName>
    <definedName name="Max_SL_STRUCTUREC_SUS">MainPage!$Q$30</definedName>
    <definedName name="Max_SL_TRUNNION_EXP">MainPage!$E$32</definedName>
    <definedName name="Max_SL_TRUNNION_SUS">MainPage!$E$30</definedName>
    <definedName name="Max_STRA_L">MainPage!$M$56</definedName>
    <definedName name="Max_STRB_B">MainPage!$E$75</definedName>
    <definedName name="Max_STRC_W">MainPage!$M$75</definedName>
    <definedName name="Max_Trunnion_diameter">MainPage!$E$56</definedName>
    <definedName name="Maz_zick_saddleangle">MainPage!$E$94</definedName>
    <definedName name="ModelNumber">Von_Mises!$C$11</definedName>
    <definedName name="MT">MainPage!$E$6</definedName>
    <definedName name="Phi">'Saddle_zick Validation'!$B$1</definedName>
    <definedName name="Pressure">MainPage!$M$6</definedName>
    <definedName name="Sa">MainPage!$E$12</definedName>
    <definedName name="Saddle_AAngle_Zick">Saddle_Zick!$M$3</definedName>
    <definedName name="Saddle_Angle_Roark">MainPage!$I$44</definedName>
    <definedName name="Saddle_Angle_Zick">MainPage!$E$44</definedName>
    <definedName name="Saddle_BAngle_Zick">Saddle_Zick!$B$3</definedName>
    <definedName name="Saddle_BAngle_Zick_Deg">MainPage!$L$94</definedName>
    <definedName name="SaddleAngle_Increment">MainPage!$I$94</definedName>
    <definedName name="Sc">MainPage!$E$10</definedName>
    <definedName name="SC_1">MainPage!$I$166</definedName>
    <definedName name="SC_2">MainPage!$I$168</definedName>
    <definedName name="SC_3">MainPage!$I$170</definedName>
    <definedName name="SC_4">MainPage!$I$172</definedName>
    <definedName name="SC_bend">Saddle_Zick!$H$6</definedName>
    <definedName name="SC_mem">Saddle_Zick!$G$6</definedName>
    <definedName name="SC_STRA">'Structure A'!$C$2</definedName>
    <definedName name="SC_STRB">'Structure B'!$B$2</definedName>
    <definedName name="SC_STRC">'Structure C'!$B$2</definedName>
    <definedName name="SC_Trunnion">Trunnion!$C$2</definedName>
    <definedName name="SCb_Qb_Primary">Von_Mises!$A$35</definedName>
    <definedName name="SCb_QL">Von_Mises!$A$41</definedName>
    <definedName name="SCm_PL">Von_Mises!$A$38</definedName>
    <definedName name="SCm_QL">Von_Mises!$A$44</definedName>
    <definedName name="Sh">MainPage!$E$11</definedName>
    <definedName name="SL_1">MainPage!$G$166</definedName>
    <definedName name="SL_2">MainPage!$G$168</definedName>
    <definedName name="SL_3">MainPage!$G$170</definedName>
    <definedName name="SL_4">MainPage!$G$172</definedName>
    <definedName name="SL_STRA">'Structure A'!$B$2</definedName>
    <definedName name="SL_STRB">'Structure B'!$A$2</definedName>
    <definedName name="SL_STRC">'Structure C'!$A$2</definedName>
    <definedName name="SL_Trunnion">Trunnion!$B$2</definedName>
    <definedName name="SLb_Qb_Primary">Von_Mises!$A$34</definedName>
    <definedName name="SLb_QL">Von_Mises!$A$40</definedName>
    <definedName name="SLm_PL">Von_Mises!$A$37</definedName>
    <definedName name="SLm_QL">Von_Mises!$A$43</definedName>
    <definedName name="SS_1">MainPage!$K$166</definedName>
    <definedName name="SS_2">MainPage!$K$168</definedName>
    <definedName name="SS_3">MainPage!$K$170</definedName>
    <definedName name="SS_4">MainPage!$K$172</definedName>
    <definedName name="SSb_Qb_Primary">Von_Mises!$A$36</definedName>
    <definedName name="SSb_QL">Von_Mises!$A$42</definedName>
    <definedName name="SSm_PL">Von_Mises!$A$39</definedName>
    <definedName name="SSm_QL">Von_Mises!$A$45</definedName>
    <definedName name="T">MainPage!$E$5</definedName>
    <definedName name="t_STRA">MainPage!$I$26</definedName>
    <definedName name="Tem">MainPage!$M$5</definedName>
    <definedName name="tf_STRC">MainPage!$Q$27</definedName>
    <definedName name="tnet_Bare_combination">'Bare Pipe_combination'!$B$1</definedName>
    <definedName name="Tnet_Bare_Roark">'Bare Pipe_Roark'!$B$1</definedName>
    <definedName name="Tnet_Saddle_Roak">'Saddle Roak'!$B$3</definedName>
    <definedName name="tnet_Saddle_Zick">Saddle_Zick!$B$5</definedName>
    <definedName name="tnet_STRA">Sheet1!$B$14</definedName>
    <definedName name="tnet_STRB">Sheet1!$B$22</definedName>
    <definedName name="tnet_STRC">Sheet1!$B$30</definedName>
    <definedName name="tnet_TRUNNION">Sheet1!$B$6</definedName>
    <definedName name="TP_Bare_combination">MainPage!$Q$44</definedName>
    <definedName name="TP_Bare_Roark">MainPage!$M$45</definedName>
    <definedName name="TP_Saddle_Roark">MainPage!$I$46</definedName>
    <definedName name="TP_Saddle_Zick">MainPage!$E$45</definedName>
    <definedName name="TP_STRA">MainPage!$I$29</definedName>
    <definedName name="TP_STRB">MainPage!$M$29</definedName>
    <definedName name="TP_STRC">MainPage!$Q$29</definedName>
    <definedName name="TP_Trunnion">MainPage!$E$28</definedName>
    <definedName name="tw_STRB">MainPage!$M$26</definedName>
    <definedName name="tw_STRC">MainPage!$Q$25</definedName>
    <definedName name="VonMises_1">Von_Mises!$K$3</definedName>
    <definedName name="VonMises2">Von_Mises!$K$5</definedName>
    <definedName name="Vonmises3">Von_Mises!$K$7</definedName>
    <definedName name="VonMises4">Von_Mises!$K$9</definedName>
    <definedName name="W_STRC">MainPage!$Q$26</definedName>
    <definedName name="W_STRC_Increment">MainPage!$Q$75</definedName>
    <definedName name="Z_BareRoark">'Bare Pipe_Roark'!$B$4</definedName>
  </definedNames>
  <calcPr calcId="152511"/>
</workbook>
</file>

<file path=xl/calcChain.xml><?xml version="1.0" encoding="utf-8"?>
<calcChain xmlns="http://schemas.openxmlformats.org/spreadsheetml/2006/main">
  <c r="B2" i="7" l="1"/>
  <c r="J6" i="7"/>
  <c r="T3" i="20"/>
  <c r="P3" i="20"/>
  <c r="B22" i="25" l="1"/>
  <c r="C22" i="25" s="1"/>
  <c r="B21" i="25"/>
  <c r="C21" i="25" s="1"/>
  <c r="B20" i="25"/>
  <c r="C20" i="25" s="1"/>
  <c r="B19" i="25"/>
  <c r="C19" i="25" s="1"/>
  <c r="B18" i="25"/>
  <c r="C18" i="25" s="1"/>
  <c r="B17" i="25"/>
  <c r="C17" i="25" s="1"/>
  <c r="B16" i="25"/>
  <c r="C16" i="25" s="1"/>
  <c r="B15" i="25"/>
  <c r="C15" i="25" s="1"/>
  <c r="B14" i="25"/>
  <c r="C14" i="25" s="1"/>
  <c r="B13" i="25"/>
  <c r="C13" i="25" s="1"/>
  <c r="B3" i="25"/>
  <c r="G20" i="24"/>
  <c r="H20" i="24"/>
  <c r="D21" i="24"/>
  <c r="E21" i="24"/>
  <c r="F21" i="24"/>
  <c r="H21" i="24"/>
  <c r="C22" i="24"/>
  <c r="D22" i="24"/>
  <c r="E22" i="24"/>
  <c r="F22" i="24"/>
  <c r="G22" i="24"/>
  <c r="H22" i="24"/>
  <c r="H36" i="24" s="1"/>
  <c r="I22" i="24"/>
  <c r="C23" i="24"/>
  <c r="D23" i="24"/>
  <c r="E23" i="24"/>
  <c r="F23" i="24"/>
  <c r="G23" i="24"/>
  <c r="H23" i="24"/>
  <c r="C25" i="24"/>
  <c r="D25" i="24"/>
  <c r="G25" i="24"/>
  <c r="H25" i="24"/>
  <c r="I25" i="24"/>
  <c r="G26" i="24"/>
  <c r="H26" i="24"/>
  <c r="C27" i="24"/>
  <c r="D27" i="24"/>
  <c r="F27" i="24"/>
  <c r="H27" i="24"/>
  <c r="C28" i="24"/>
  <c r="D28" i="24"/>
  <c r="F28" i="24"/>
  <c r="G28" i="24"/>
  <c r="H28" i="24"/>
  <c r="C29" i="24"/>
  <c r="D29" i="24"/>
  <c r="F29" i="24"/>
  <c r="G29" i="24"/>
  <c r="H29" i="24"/>
  <c r="H43" i="24" s="1"/>
  <c r="C31" i="24"/>
  <c r="D31" i="24"/>
  <c r="F34" i="24"/>
  <c r="G34" i="24"/>
  <c r="H34" i="24"/>
  <c r="I34" i="24"/>
  <c r="J34" i="24"/>
  <c r="C35" i="24"/>
  <c r="D35" i="24"/>
  <c r="E35" i="24"/>
  <c r="F35" i="24"/>
  <c r="H35" i="24"/>
  <c r="C36" i="24"/>
  <c r="D36" i="24"/>
  <c r="E36" i="24"/>
  <c r="F36" i="24"/>
  <c r="G36" i="24"/>
  <c r="I36" i="24"/>
  <c r="J36" i="24"/>
  <c r="C37" i="24"/>
  <c r="D37" i="24"/>
  <c r="E37" i="24"/>
  <c r="F37" i="24"/>
  <c r="G37" i="24"/>
  <c r="H37" i="24"/>
  <c r="I37" i="24"/>
  <c r="J37" i="24"/>
  <c r="F38" i="24"/>
  <c r="C39" i="24"/>
  <c r="D39" i="24"/>
  <c r="E39" i="24"/>
  <c r="F39" i="24"/>
  <c r="G39" i="24"/>
  <c r="H39" i="24"/>
  <c r="I39" i="24"/>
  <c r="J39" i="24"/>
  <c r="E40" i="24"/>
  <c r="F40" i="24"/>
  <c r="G40" i="24"/>
  <c r="H40" i="24"/>
  <c r="I40" i="24"/>
  <c r="J40" i="24"/>
  <c r="C41" i="24"/>
  <c r="D41" i="24"/>
  <c r="E41" i="24"/>
  <c r="F41" i="24"/>
  <c r="H41" i="24"/>
  <c r="C42" i="24"/>
  <c r="D42" i="24"/>
  <c r="E42" i="24"/>
  <c r="F42" i="24"/>
  <c r="G42" i="24"/>
  <c r="H42" i="24"/>
  <c r="I42" i="24"/>
  <c r="J42" i="24"/>
  <c r="C43" i="24"/>
  <c r="D43" i="24"/>
  <c r="E43" i="24"/>
  <c r="F43" i="24"/>
  <c r="G43" i="24"/>
  <c r="I43" i="24"/>
  <c r="J43" i="24"/>
  <c r="E44" i="24"/>
  <c r="F44" i="24"/>
  <c r="C45" i="24"/>
  <c r="D45" i="24"/>
  <c r="E45" i="24"/>
  <c r="F45" i="24"/>
  <c r="G45" i="24"/>
  <c r="H45" i="24"/>
  <c r="I45" i="24"/>
  <c r="J45" i="24"/>
  <c r="B1" i="23"/>
  <c r="A5" i="23" s="1"/>
  <c r="J21" i="24" s="1"/>
  <c r="J35" i="24" s="1"/>
  <c r="B1" i="22"/>
  <c r="B3" i="22" s="1"/>
  <c r="B4" i="22" s="1"/>
  <c r="B2" i="22"/>
  <c r="E1" i="22" s="1"/>
  <c r="B7" i="22"/>
  <c r="C7" i="22" s="1"/>
  <c r="G7" i="22"/>
  <c r="B8" i="22"/>
  <c r="C8" i="22" s="1"/>
  <c r="B9" i="22"/>
  <c r="D9" i="22" s="1"/>
  <c r="B10" i="22"/>
  <c r="C10" i="22"/>
  <c r="D10" i="22"/>
  <c r="G10" i="22"/>
  <c r="H10" i="22"/>
  <c r="B11" i="22"/>
  <c r="C11" i="22" s="1"/>
  <c r="B12" i="22"/>
  <c r="C12" i="22" s="1"/>
  <c r="B13" i="22"/>
  <c r="C13" i="22" s="1"/>
  <c r="H13" i="22"/>
  <c r="B14" i="22"/>
  <c r="B15" i="22"/>
  <c r="C15" i="22" s="1"/>
  <c r="B16" i="22"/>
  <c r="C16" i="22" s="1"/>
  <c r="B17" i="22"/>
  <c r="C17" i="22" s="1"/>
  <c r="D17" i="22"/>
  <c r="H17" i="22"/>
  <c r="B18" i="22"/>
  <c r="C18" i="22"/>
  <c r="D18" i="22"/>
  <c r="G18" i="22"/>
  <c r="H18" i="22"/>
  <c r="B19" i="22"/>
  <c r="C19" i="22" s="1"/>
  <c r="B20" i="22"/>
  <c r="C20" i="22" s="1"/>
  <c r="B21" i="22"/>
  <c r="C21" i="22" s="1"/>
  <c r="H21" i="22"/>
  <c r="B22" i="22"/>
  <c r="B23" i="22"/>
  <c r="C23" i="22" s="1"/>
  <c r="B24" i="22"/>
  <c r="C24" i="22" s="1"/>
  <c r="B25" i="22"/>
  <c r="C25" i="22" s="1"/>
  <c r="D25" i="22"/>
  <c r="H25" i="22"/>
  <c r="B26" i="22"/>
  <c r="C26" i="22"/>
  <c r="D26" i="22"/>
  <c r="G26" i="22"/>
  <c r="H26" i="22"/>
  <c r="B27" i="22"/>
  <c r="C27" i="22" s="1"/>
  <c r="B28" i="22"/>
  <c r="C28" i="22" s="1"/>
  <c r="B29" i="22"/>
  <c r="C29" i="22" s="1"/>
  <c r="H29" i="22"/>
  <c r="B30" i="22"/>
  <c r="B31" i="22"/>
  <c r="B32" i="22"/>
  <c r="C32" i="22" s="1"/>
  <c r="B33" i="22"/>
  <c r="C33" i="22" s="1"/>
  <c r="D33" i="22"/>
  <c r="B34" i="22"/>
  <c r="C34" i="22"/>
  <c r="D34" i="22"/>
  <c r="G34" i="22"/>
  <c r="H34" i="22"/>
  <c r="B35" i="22"/>
  <c r="B36" i="22"/>
  <c r="C36" i="22" s="1"/>
  <c r="B37" i="22"/>
  <c r="C37" i="22" s="1"/>
  <c r="H37" i="22"/>
  <c r="B38" i="22"/>
  <c r="H38" i="22"/>
  <c r="B39" i="22"/>
  <c r="B40" i="22"/>
  <c r="C40" i="22" s="1"/>
  <c r="B41" i="22"/>
  <c r="C41" i="22" s="1"/>
  <c r="D41" i="22"/>
  <c r="B42" i="22"/>
  <c r="D42" i="22" s="1"/>
  <c r="C42" i="22"/>
  <c r="H42" i="22"/>
  <c r="B43" i="22"/>
  <c r="C43" i="22" s="1"/>
  <c r="B44" i="22"/>
  <c r="B45" i="22"/>
  <c r="C45" i="22"/>
  <c r="D45" i="22"/>
  <c r="G45" i="22"/>
  <c r="H45" i="22"/>
  <c r="B46" i="22"/>
  <c r="D46" i="22" s="1"/>
  <c r="C46" i="22"/>
  <c r="B47" i="22"/>
  <c r="C47" i="22" s="1"/>
  <c r="G47" i="22"/>
  <c r="B48" i="22"/>
  <c r="C48" i="22" s="1"/>
  <c r="D48" i="22"/>
  <c r="G48" i="22"/>
  <c r="H48" i="22"/>
  <c r="B49" i="22"/>
  <c r="D49" i="22" s="1"/>
  <c r="B50" i="22"/>
  <c r="D50" i="22" s="1"/>
  <c r="C50" i="22"/>
  <c r="B51" i="22"/>
  <c r="C51" i="22" s="1"/>
  <c r="B52" i="22"/>
  <c r="D52" i="22" s="1"/>
  <c r="C52" i="22"/>
  <c r="H52" i="22"/>
  <c r="B53" i="22"/>
  <c r="D53" i="22" s="1"/>
  <c r="B54" i="22"/>
  <c r="D54" i="22" s="1"/>
  <c r="G54" i="22"/>
  <c r="B55" i="22"/>
  <c r="C55" i="22" s="1"/>
  <c r="B56" i="22"/>
  <c r="C56" i="22" s="1"/>
  <c r="D56" i="22"/>
  <c r="G56" i="22"/>
  <c r="H56" i="22"/>
  <c r="B57" i="22"/>
  <c r="D57" i="22" s="1"/>
  <c r="B58" i="22"/>
  <c r="D58" i="22" s="1"/>
  <c r="C58" i="22"/>
  <c r="B59" i="22"/>
  <c r="C59" i="22" s="1"/>
  <c r="B60" i="22"/>
  <c r="D60" i="22" s="1"/>
  <c r="C60" i="22"/>
  <c r="H60" i="22"/>
  <c r="B61" i="22"/>
  <c r="D61" i="22" s="1"/>
  <c r="F61" i="22" s="1"/>
  <c r="B62" i="22"/>
  <c r="D62" i="22" s="1"/>
  <c r="G62" i="22"/>
  <c r="B63" i="22"/>
  <c r="B64" i="22"/>
  <c r="C64" i="22" s="1"/>
  <c r="D64" i="22"/>
  <c r="G64" i="22"/>
  <c r="I64" i="22" s="1"/>
  <c r="H64" i="22"/>
  <c r="B65" i="22"/>
  <c r="D65" i="22"/>
  <c r="H65" i="22"/>
  <c r="J65" i="22" s="1"/>
  <c r="B66" i="22"/>
  <c r="D66" i="22" s="1"/>
  <c r="G66" i="22"/>
  <c r="B67" i="22"/>
  <c r="B68" i="22"/>
  <c r="D68" i="22" s="1"/>
  <c r="C68" i="22"/>
  <c r="E68" i="22" s="1"/>
  <c r="H68" i="22"/>
  <c r="B69" i="22"/>
  <c r="B70" i="22"/>
  <c r="D70" i="22" s="1"/>
  <c r="C70" i="22"/>
  <c r="E70" i="22" s="1"/>
  <c r="B71" i="22"/>
  <c r="D71" i="22"/>
  <c r="H71" i="22"/>
  <c r="J71" i="22" s="1"/>
  <c r="B72" i="22"/>
  <c r="C72" i="22" s="1"/>
  <c r="E72" i="22" s="1"/>
  <c r="D72" i="22"/>
  <c r="G72" i="22"/>
  <c r="I72" i="22" s="1"/>
  <c r="H72" i="22"/>
  <c r="B73" i="22"/>
  <c r="C73" i="22" s="1"/>
  <c r="D73" i="22"/>
  <c r="G73" i="22"/>
  <c r="I73" i="22" s="1"/>
  <c r="H73" i="22"/>
  <c r="B74" i="22"/>
  <c r="C74" i="22"/>
  <c r="G74" i="22"/>
  <c r="I74" i="22" s="1"/>
  <c r="B75" i="22"/>
  <c r="D75" i="22" s="1"/>
  <c r="B76" i="22"/>
  <c r="D76" i="22" s="1"/>
  <c r="C76" i="22"/>
  <c r="E76" i="22" s="1"/>
  <c r="H76" i="22"/>
  <c r="B77" i="22"/>
  <c r="B78" i="22"/>
  <c r="G78" i="22" s="1"/>
  <c r="I78" i="22" s="1"/>
  <c r="C78" i="22"/>
  <c r="E78" i="22" s="1"/>
  <c r="B79" i="22"/>
  <c r="D79" i="22" s="1"/>
  <c r="H79" i="22"/>
  <c r="B80" i="22"/>
  <c r="B81" i="22"/>
  <c r="C81" i="22" s="1"/>
  <c r="G81" i="22"/>
  <c r="B82" i="22"/>
  <c r="B83" i="22"/>
  <c r="D83" i="22" s="1"/>
  <c r="H83" i="22"/>
  <c r="B84" i="22"/>
  <c r="C84" i="22" s="1"/>
  <c r="D84" i="22"/>
  <c r="G84" i="22"/>
  <c r="H84" i="22"/>
  <c r="B85" i="22"/>
  <c r="D85" i="22" s="1"/>
  <c r="C85" i="22"/>
  <c r="G85" i="22"/>
  <c r="B86" i="22"/>
  <c r="C86" i="22" s="1"/>
  <c r="B87" i="22"/>
  <c r="C87" i="22"/>
  <c r="D87" i="22"/>
  <c r="G87" i="22"/>
  <c r="H87" i="22"/>
  <c r="B88" i="22"/>
  <c r="C88" i="22" s="1"/>
  <c r="D88" i="22"/>
  <c r="B89" i="22"/>
  <c r="D89" i="22" s="1"/>
  <c r="C89" i="22"/>
  <c r="G89" i="22"/>
  <c r="B90" i="22"/>
  <c r="C90" i="22" s="1"/>
  <c r="B91" i="22"/>
  <c r="C91" i="22"/>
  <c r="D91" i="22"/>
  <c r="G91" i="22"/>
  <c r="H91" i="22"/>
  <c r="B92" i="22"/>
  <c r="C92" i="22" s="1"/>
  <c r="D92" i="22"/>
  <c r="B93" i="22"/>
  <c r="D93" i="22" s="1"/>
  <c r="C93" i="22"/>
  <c r="G93" i="22"/>
  <c r="B94" i="22"/>
  <c r="C94" i="22" s="1"/>
  <c r="B95" i="22"/>
  <c r="C95" i="22"/>
  <c r="D95" i="22"/>
  <c r="G95" i="22"/>
  <c r="H95" i="22"/>
  <c r="B96" i="22"/>
  <c r="C96" i="22" s="1"/>
  <c r="D96" i="22"/>
  <c r="B97" i="22"/>
  <c r="D97" i="22" s="1"/>
  <c r="C97" i="22"/>
  <c r="G97" i="22"/>
  <c r="B98" i="22"/>
  <c r="C98" i="22" s="1"/>
  <c r="B99" i="22"/>
  <c r="C99" i="22"/>
  <c r="E99" i="22" s="1"/>
  <c r="D99" i="22"/>
  <c r="G99" i="22"/>
  <c r="H99" i="22"/>
  <c r="B100" i="22"/>
  <c r="D100" i="22" s="1"/>
  <c r="B101" i="22"/>
  <c r="D101" i="22" s="1"/>
  <c r="C101" i="22"/>
  <c r="E101" i="22" s="1"/>
  <c r="G101" i="22"/>
  <c r="B102" i="22"/>
  <c r="C102" i="22" s="1"/>
  <c r="B103" i="22"/>
  <c r="C103" i="22"/>
  <c r="E103" i="22" s="1"/>
  <c r="D103" i="22"/>
  <c r="G103" i="22"/>
  <c r="H103" i="22"/>
  <c r="B104" i="22"/>
  <c r="B105" i="22"/>
  <c r="D105" i="22" s="1"/>
  <c r="C105" i="22"/>
  <c r="E105" i="22" s="1"/>
  <c r="G105" i="22"/>
  <c r="B106" i="22"/>
  <c r="C106" i="22" s="1"/>
  <c r="B107" i="22"/>
  <c r="C107" i="22"/>
  <c r="E107" i="22" s="1"/>
  <c r="D107" i="22"/>
  <c r="G107" i="22"/>
  <c r="H107" i="22"/>
  <c r="B108" i="22"/>
  <c r="D108" i="22"/>
  <c r="B109" i="22"/>
  <c r="D109" i="22" s="1"/>
  <c r="C109" i="22"/>
  <c r="E109" i="22" s="1"/>
  <c r="G109" i="22"/>
  <c r="B110" i="22"/>
  <c r="B111" i="22"/>
  <c r="C111" i="22"/>
  <c r="E111" i="22" s="1"/>
  <c r="D111" i="22"/>
  <c r="G111" i="22"/>
  <c r="H111" i="22"/>
  <c r="B112" i="22"/>
  <c r="D112" i="22"/>
  <c r="B113" i="22"/>
  <c r="D113" i="22" s="1"/>
  <c r="C113" i="22"/>
  <c r="E113" i="22" s="1"/>
  <c r="G113" i="22"/>
  <c r="B114" i="22"/>
  <c r="B115" i="22"/>
  <c r="C115" i="22"/>
  <c r="E115" i="22" s="1"/>
  <c r="D115" i="22"/>
  <c r="G115" i="22"/>
  <c r="H115" i="22"/>
  <c r="B116" i="22"/>
  <c r="H116" i="22" s="1"/>
  <c r="J116" i="22" s="1"/>
  <c r="B117" i="22"/>
  <c r="D117" i="22" s="1"/>
  <c r="C117" i="22"/>
  <c r="E117" i="22" s="1"/>
  <c r="G117" i="22"/>
  <c r="B118" i="22"/>
  <c r="D118" i="22" s="1"/>
  <c r="F118" i="22" s="1"/>
  <c r="H118" i="22"/>
  <c r="J118" i="22" s="1"/>
  <c r="B119" i="22"/>
  <c r="B120" i="22"/>
  <c r="D120" i="22" s="1"/>
  <c r="F120" i="22" s="1"/>
  <c r="H120" i="22"/>
  <c r="J120" i="22" s="1"/>
  <c r="B121" i="22"/>
  <c r="B122" i="22"/>
  <c r="H122" i="22" s="1"/>
  <c r="J122" i="22" s="1"/>
  <c r="B123" i="22"/>
  <c r="C123" i="22"/>
  <c r="E123" i="22" s="1"/>
  <c r="D123" i="22"/>
  <c r="F123" i="22" s="1"/>
  <c r="G123" i="22"/>
  <c r="H123" i="22"/>
  <c r="B124" i="22"/>
  <c r="H124" i="22" s="1"/>
  <c r="J124" i="22" s="1"/>
  <c r="B125" i="22"/>
  <c r="D125" i="22" s="1"/>
  <c r="C125" i="22"/>
  <c r="E125" i="22" s="1"/>
  <c r="G125" i="22"/>
  <c r="I125" i="22" s="1"/>
  <c r="B126" i="22"/>
  <c r="D126" i="22" s="1"/>
  <c r="F126" i="22" s="1"/>
  <c r="H126" i="22"/>
  <c r="J126" i="22" s="1"/>
  <c r="B127" i="22"/>
  <c r="B128" i="22"/>
  <c r="D128" i="22" s="1"/>
  <c r="F128" i="22" s="1"/>
  <c r="H128" i="22"/>
  <c r="J128" i="22" s="1"/>
  <c r="B129" i="22"/>
  <c r="B130" i="22"/>
  <c r="D130" i="22"/>
  <c r="F130" i="22" s="1"/>
  <c r="H130" i="22"/>
  <c r="J130" i="22" s="1"/>
  <c r="B131" i="22"/>
  <c r="C131" i="22" s="1"/>
  <c r="E131" i="22" s="1"/>
  <c r="D131" i="22"/>
  <c r="F131" i="22" s="1"/>
  <c r="G131" i="22"/>
  <c r="I131" i="22" s="1"/>
  <c r="H131" i="22"/>
  <c r="J131" i="22" s="1"/>
  <c r="B132" i="22"/>
  <c r="D132" i="22" s="1"/>
  <c r="C132" i="22"/>
  <c r="E132" i="22" s="1"/>
  <c r="G132" i="22"/>
  <c r="I132" i="22" s="1"/>
  <c r="H132" i="22"/>
  <c r="J132" i="22" s="1"/>
  <c r="B133" i="22"/>
  <c r="C133" i="22" s="1"/>
  <c r="G133" i="22"/>
  <c r="I133" i="22" s="1"/>
  <c r="B134" i="22"/>
  <c r="H134" i="22" s="1"/>
  <c r="J134" i="22" s="1"/>
  <c r="D134" i="22"/>
  <c r="F134" i="22" s="1"/>
  <c r="B135" i="22"/>
  <c r="G135" i="22" s="1"/>
  <c r="I135" i="22" s="1"/>
  <c r="H135" i="22"/>
  <c r="J135" i="22" s="1"/>
  <c r="B136" i="22"/>
  <c r="C136" i="22" s="1"/>
  <c r="E136" i="22" s="1"/>
  <c r="B137" i="22"/>
  <c r="B138" i="22"/>
  <c r="C138" i="22"/>
  <c r="E138" i="22" s="1"/>
  <c r="D138" i="22"/>
  <c r="F138" i="22" s="1"/>
  <c r="G138" i="22"/>
  <c r="I138" i="22" s="1"/>
  <c r="H138" i="22"/>
  <c r="B139" i="22"/>
  <c r="C139" i="22" s="1"/>
  <c r="E139" i="22" s="1"/>
  <c r="B140" i="22"/>
  <c r="B141" i="22"/>
  <c r="D141" i="22" s="1"/>
  <c r="F141" i="22" s="1"/>
  <c r="B142" i="22"/>
  <c r="D142" i="22" s="1"/>
  <c r="F142" i="22" s="1"/>
  <c r="C142" i="22"/>
  <c r="E142" i="22" s="1"/>
  <c r="G142" i="22"/>
  <c r="I142" i="22" s="1"/>
  <c r="B143" i="22"/>
  <c r="C143" i="22" s="1"/>
  <c r="E143" i="22" s="1"/>
  <c r="B144" i="22"/>
  <c r="D144" i="22" s="1"/>
  <c r="C144" i="22"/>
  <c r="E144" i="22" s="1"/>
  <c r="G144" i="22"/>
  <c r="I144" i="22" s="1"/>
  <c r="B145" i="22"/>
  <c r="D145" i="22" s="1"/>
  <c r="F145" i="22" s="1"/>
  <c r="B146" i="22"/>
  <c r="C146" i="22"/>
  <c r="E146" i="22" s="1"/>
  <c r="D146" i="22"/>
  <c r="F146" i="22" s="1"/>
  <c r="G146" i="22"/>
  <c r="I146" i="22" s="1"/>
  <c r="H146" i="22"/>
  <c r="B147" i="22"/>
  <c r="C147" i="22" s="1"/>
  <c r="E147" i="22" s="1"/>
  <c r="B148" i="22"/>
  <c r="C148" i="22"/>
  <c r="E148" i="22" s="1"/>
  <c r="B149" i="22"/>
  <c r="D149" i="22" s="1"/>
  <c r="F149" i="22" s="1"/>
  <c r="B150" i="22"/>
  <c r="D150" i="22" s="1"/>
  <c r="F150" i="22" s="1"/>
  <c r="H150" i="22"/>
  <c r="J150" i="22" s="1"/>
  <c r="B151" i="22"/>
  <c r="C151" i="22" s="1"/>
  <c r="E151" i="22" s="1"/>
  <c r="B152" i="22"/>
  <c r="D152" i="22" s="1"/>
  <c r="C152" i="22"/>
  <c r="E152" i="22" s="1"/>
  <c r="G152" i="22"/>
  <c r="I152" i="22" s="1"/>
  <c r="B153" i="22"/>
  <c r="D153" i="22" s="1"/>
  <c r="F153" i="22" s="1"/>
  <c r="B154" i="22"/>
  <c r="C154" i="22"/>
  <c r="E154" i="22" s="1"/>
  <c r="D154" i="22"/>
  <c r="F154" i="22" s="1"/>
  <c r="G154" i="22"/>
  <c r="I154" i="22" s="1"/>
  <c r="H154" i="22"/>
  <c r="B155" i="22"/>
  <c r="C155" i="22" s="1"/>
  <c r="E155" i="22" s="1"/>
  <c r="B156" i="22"/>
  <c r="B157" i="22"/>
  <c r="D157" i="22" s="1"/>
  <c r="F157" i="22" s="1"/>
  <c r="B158" i="22"/>
  <c r="D158" i="22" s="1"/>
  <c r="F158" i="22" s="1"/>
  <c r="C158" i="22"/>
  <c r="E158" i="22" s="1"/>
  <c r="G158" i="22"/>
  <c r="I158" i="22" s="1"/>
  <c r="B159" i="22"/>
  <c r="C159" i="22" s="1"/>
  <c r="E159" i="22" s="1"/>
  <c r="B160" i="22"/>
  <c r="D160" i="22" s="1"/>
  <c r="C160" i="22"/>
  <c r="E160" i="22" s="1"/>
  <c r="G160" i="22"/>
  <c r="I160" i="22" s="1"/>
  <c r="B161" i="22"/>
  <c r="D161" i="22" s="1"/>
  <c r="F161" i="22" s="1"/>
  <c r="B162" i="22"/>
  <c r="C162" i="22"/>
  <c r="E162" i="22" s="1"/>
  <c r="D162" i="22"/>
  <c r="F162" i="22" s="1"/>
  <c r="G162" i="22"/>
  <c r="I162" i="22" s="1"/>
  <c r="H162" i="22"/>
  <c r="B163" i="22"/>
  <c r="C163" i="22" s="1"/>
  <c r="E163" i="22" s="1"/>
  <c r="B164" i="22"/>
  <c r="C164" i="22"/>
  <c r="E164" i="22" s="1"/>
  <c r="B165" i="22"/>
  <c r="D165" i="22" s="1"/>
  <c r="F165" i="22" s="1"/>
  <c r="B166" i="22"/>
  <c r="D166" i="22" s="1"/>
  <c r="F166" i="22" s="1"/>
  <c r="H166" i="22"/>
  <c r="J166" i="22" s="1"/>
  <c r="B167" i="22"/>
  <c r="C167" i="22" s="1"/>
  <c r="E167" i="22" s="1"/>
  <c r="B168" i="22"/>
  <c r="D168" i="22" s="1"/>
  <c r="C168" i="22"/>
  <c r="E168" i="22" s="1"/>
  <c r="G168" i="22"/>
  <c r="I168" i="22" s="1"/>
  <c r="B169" i="22"/>
  <c r="D169" i="22" s="1"/>
  <c r="F169" i="22" s="1"/>
  <c r="B170" i="22"/>
  <c r="C170" i="22"/>
  <c r="E170" i="22" s="1"/>
  <c r="D170" i="22"/>
  <c r="F170" i="22" s="1"/>
  <c r="G170" i="22"/>
  <c r="I170" i="22" s="1"/>
  <c r="H170" i="22"/>
  <c r="B171" i="22"/>
  <c r="C171" i="22" s="1"/>
  <c r="E171" i="22" s="1"/>
  <c r="B172" i="22"/>
  <c r="B173" i="22"/>
  <c r="D173" i="22" s="1"/>
  <c r="F173" i="22" s="1"/>
  <c r="B174" i="22"/>
  <c r="D174" i="22" s="1"/>
  <c r="F174" i="22" s="1"/>
  <c r="C174" i="22"/>
  <c r="E174" i="22" s="1"/>
  <c r="G174" i="22"/>
  <c r="I174" i="22" s="1"/>
  <c r="B175" i="22"/>
  <c r="C175" i="22" s="1"/>
  <c r="E175" i="22" s="1"/>
  <c r="B176" i="22"/>
  <c r="D176" i="22" s="1"/>
  <c r="C176" i="22"/>
  <c r="E176" i="22" s="1"/>
  <c r="G176" i="22"/>
  <c r="I176" i="22" s="1"/>
  <c r="B177" i="22"/>
  <c r="D177" i="22" s="1"/>
  <c r="F177" i="22" s="1"/>
  <c r="B178" i="22"/>
  <c r="C178" i="22"/>
  <c r="E178" i="22" s="1"/>
  <c r="D178" i="22"/>
  <c r="F178" i="22" s="1"/>
  <c r="G178" i="22"/>
  <c r="I178" i="22" s="1"/>
  <c r="H178" i="22"/>
  <c r="B179" i="22"/>
  <c r="C179" i="22" s="1"/>
  <c r="E179" i="22" s="1"/>
  <c r="B180" i="22"/>
  <c r="C180" i="22"/>
  <c r="E180" i="22" s="1"/>
  <c r="B181" i="22"/>
  <c r="D181" i="22" s="1"/>
  <c r="F181" i="22" s="1"/>
  <c r="B182" i="22"/>
  <c r="C182" i="22" s="1"/>
  <c r="E182" i="22" s="1"/>
  <c r="G182" i="22"/>
  <c r="I182" i="22" s="1"/>
  <c r="H182" i="22"/>
  <c r="J182" i="22" s="1"/>
  <c r="B183" i="22"/>
  <c r="C183" i="22" s="1"/>
  <c r="E183" i="22" s="1"/>
  <c r="B184" i="22"/>
  <c r="D184" i="22" s="1"/>
  <c r="F184" i="22" s="1"/>
  <c r="C184" i="22"/>
  <c r="E184" i="22" s="1"/>
  <c r="G184" i="22"/>
  <c r="I184" i="22" s="1"/>
  <c r="B185" i="22"/>
  <c r="D185" i="22" s="1"/>
  <c r="F185" i="22" s="1"/>
  <c r="B186" i="22"/>
  <c r="G186" i="22" s="1"/>
  <c r="I186" i="22" s="1"/>
  <c r="C186" i="22"/>
  <c r="E186" i="22" s="1"/>
  <c r="D186" i="22"/>
  <c r="F186" i="22" s="1"/>
  <c r="H186" i="22"/>
  <c r="J186" i="22" s="1"/>
  <c r="B187" i="22"/>
  <c r="C187" i="22" s="1"/>
  <c r="E187" i="22" s="1"/>
  <c r="B193" i="22"/>
  <c r="H193" i="22" s="1"/>
  <c r="J193" i="22" s="1"/>
  <c r="G193" i="22"/>
  <c r="I193" i="22" s="1"/>
  <c r="B194" i="22"/>
  <c r="G194" i="22" s="1"/>
  <c r="I194" i="22" s="1"/>
  <c r="H194" i="22"/>
  <c r="J194" i="22" s="1"/>
  <c r="B195" i="22"/>
  <c r="C195" i="22" s="1"/>
  <c r="E195" i="22" s="1"/>
  <c r="G195" i="22"/>
  <c r="I195" i="22" s="1"/>
  <c r="H195" i="22"/>
  <c r="J195" i="22" s="1"/>
  <c r="B196" i="22"/>
  <c r="G196" i="22" s="1"/>
  <c r="I196" i="22" s="1"/>
  <c r="C196" i="22"/>
  <c r="E196" i="22" s="1"/>
  <c r="D196" i="22"/>
  <c r="F196" i="22" s="1"/>
  <c r="B197" i="22"/>
  <c r="H197" i="22" s="1"/>
  <c r="J197" i="22" s="1"/>
  <c r="C197" i="22"/>
  <c r="E197" i="22" s="1"/>
  <c r="G197" i="22"/>
  <c r="I197" i="22" s="1"/>
  <c r="B198" i="22"/>
  <c r="G198" i="22" s="1"/>
  <c r="I198" i="22" s="1"/>
  <c r="C198" i="22"/>
  <c r="E198" i="22" s="1"/>
  <c r="H198" i="22"/>
  <c r="J198" i="22" s="1"/>
  <c r="B199" i="22"/>
  <c r="D199" i="22" s="1"/>
  <c r="F199" i="22" s="1"/>
  <c r="C199" i="22"/>
  <c r="E199" i="22" s="1"/>
  <c r="G199" i="22"/>
  <c r="I199" i="22" s="1"/>
  <c r="H199" i="22"/>
  <c r="J199" i="22" s="1"/>
  <c r="B200" i="22"/>
  <c r="C200" i="22" s="1"/>
  <c r="E200" i="22" s="1"/>
  <c r="D200" i="22"/>
  <c r="F200" i="22" s="1"/>
  <c r="B201" i="22"/>
  <c r="H201" i="22" s="1"/>
  <c r="J201" i="22" s="1"/>
  <c r="C201" i="22"/>
  <c r="E201" i="22" s="1"/>
  <c r="G201" i="22"/>
  <c r="I201" i="22" s="1"/>
  <c r="B202" i="22"/>
  <c r="G202" i="22" s="1"/>
  <c r="I202" i="22" s="1"/>
  <c r="C202" i="22"/>
  <c r="E202" i="22" s="1"/>
  <c r="B203" i="22"/>
  <c r="G203" i="22"/>
  <c r="I203" i="22" s="1"/>
  <c r="H203" i="22"/>
  <c r="J203" i="22" s="1"/>
  <c r="B204" i="22"/>
  <c r="G204" i="22" s="1"/>
  <c r="I204" i="22" s="1"/>
  <c r="C204" i="22"/>
  <c r="E204" i="22" s="1"/>
  <c r="H204" i="22"/>
  <c r="J204" i="22" s="1"/>
  <c r="B205" i="22"/>
  <c r="H205" i="22" s="1"/>
  <c r="J205" i="22" s="1"/>
  <c r="C205" i="22"/>
  <c r="E205" i="22" s="1"/>
  <c r="G205" i="22"/>
  <c r="I205" i="22" s="1"/>
  <c r="B206" i="22"/>
  <c r="G206" i="22" s="1"/>
  <c r="I206" i="22" s="1"/>
  <c r="C206" i="22"/>
  <c r="E206" i="22" s="1"/>
  <c r="H206" i="22"/>
  <c r="J206" i="22" s="1"/>
  <c r="B207" i="22"/>
  <c r="D207" i="22" s="1"/>
  <c r="F207" i="22" s="1"/>
  <c r="C207" i="22"/>
  <c r="E207" i="22" s="1"/>
  <c r="G207" i="22"/>
  <c r="I207" i="22" s="1"/>
  <c r="H207" i="22"/>
  <c r="J207" i="22" s="1"/>
  <c r="B208" i="22"/>
  <c r="G208" i="22" s="1"/>
  <c r="I208" i="22" s="1"/>
  <c r="D208" i="22"/>
  <c r="F208" i="22" s="1"/>
  <c r="H208" i="22"/>
  <c r="J208" i="22" s="1"/>
  <c r="B209" i="22"/>
  <c r="H209" i="22" s="1"/>
  <c r="J209" i="22" s="1"/>
  <c r="D209" i="22"/>
  <c r="F209" i="22" s="1"/>
  <c r="G209" i="22"/>
  <c r="I209" i="22" s="1"/>
  <c r="B210" i="22"/>
  <c r="G210" i="22" s="1"/>
  <c r="I210" i="22" s="1"/>
  <c r="D210" i="22"/>
  <c r="F210" i="22" s="1"/>
  <c r="B211" i="22"/>
  <c r="D211" i="22" s="1"/>
  <c r="F211" i="22" s="1"/>
  <c r="C211" i="22"/>
  <c r="E211" i="22" s="1"/>
  <c r="G211" i="22"/>
  <c r="I211" i="22" s="1"/>
  <c r="H211" i="22"/>
  <c r="J211" i="22" s="1"/>
  <c r="B212" i="22"/>
  <c r="H212" i="22" s="1"/>
  <c r="J212" i="22" s="1"/>
  <c r="D212" i="22"/>
  <c r="F212" i="22" s="1"/>
  <c r="G212" i="22"/>
  <c r="I212" i="22" s="1"/>
  <c r="B213" i="22"/>
  <c r="H213" i="22" s="1"/>
  <c r="J213" i="22" s="1"/>
  <c r="D213" i="22"/>
  <c r="F213" i="22" s="1"/>
  <c r="G213" i="22"/>
  <c r="I213" i="22" s="1"/>
  <c r="B214" i="22"/>
  <c r="G214" i="22" s="1"/>
  <c r="I214" i="22" s="1"/>
  <c r="D214" i="22"/>
  <c r="F214" i="22" s="1"/>
  <c r="H214" i="22"/>
  <c r="J214" i="22" s="1"/>
  <c r="B215" i="22"/>
  <c r="C215" i="22"/>
  <c r="E215" i="22" s="1"/>
  <c r="D215" i="22"/>
  <c r="F215" i="22" s="1"/>
  <c r="G215" i="22"/>
  <c r="I215" i="22" s="1"/>
  <c r="H215" i="22"/>
  <c r="J215" i="22" s="1"/>
  <c r="B216" i="22"/>
  <c r="G216" i="22"/>
  <c r="I216" i="22" s="1"/>
  <c r="B217" i="22"/>
  <c r="G217" i="22"/>
  <c r="I217" i="22" s="1"/>
  <c r="B218" i="22"/>
  <c r="H218" i="22"/>
  <c r="J218" i="22" s="1"/>
  <c r="B219" i="22"/>
  <c r="G219" i="22"/>
  <c r="I219" i="22" s="1"/>
  <c r="H219" i="22"/>
  <c r="J219" i="22" s="1"/>
  <c r="B220" i="22"/>
  <c r="H220" i="22" s="1"/>
  <c r="J220" i="22" s="1"/>
  <c r="C220" i="22"/>
  <c r="E220" i="22" s="1"/>
  <c r="G220" i="22"/>
  <c r="I220" i="22" s="1"/>
  <c r="B221" i="22"/>
  <c r="H221" i="22" s="1"/>
  <c r="J221" i="22" s="1"/>
  <c r="C221" i="22"/>
  <c r="E221" i="22" s="1"/>
  <c r="G221" i="22"/>
  <c r="I221" i="22" s="1"/>
  <c r="B222" i="22"/>
  <c r="G222" i="22" s="1"/>
  <c r="I222" i="22" s="1"/>
  <c r="D222" i="22"/>
  <c r="F222" i="22" s="1"/>
  <c r="H222" i="22"/>
  <c r="J222" i="22" s="1"/>
  <c r="B223" i="22"/>
  <c r="C223" i="22" s="1"/>
  <c r="E223" i="22" s="1"/>
  <c r="D223" i="22"/>
  <c r="F223" i="22" s="1"/>
  <c r="G223" i="22"/>
  <c r="I223" i="22" s="1"/>
  <c r="H223" i="22"/>
  <c r="J223" i="22" s="1"/>
  <c r="B224" i="22"/>
  <c r="H224" i="22" s="1"/>
  <c r="J224" i="22" s="1"/>
  <c r="C224" i="22"/>
  <c r="E224" i="22" s="1"/>
  <c r="D224" i="22"/>
  <c r="F224" i="22" s="1"/>
  <c r="G224" i="22"/>
  <c r="I224" i="22" s="1"/>
  <c r="B225" i="22"/>
  <c r="H225" i="22" s="1"/>
  <c r="J225" i="22" s="1"/>
  <c r="C225" i="22"/>
  <c r="E225" i="22" s="1"/>
  <c r="D225" i="22"/>
  <c r="F225" i="22" s="1"/>
  <c r="G225" i="22"/>
  <c r="I225" i="22" s="1"/>
  <c r="B226" i="22"/>
  <c r="G226" i="22" s="1"/>
  <c r="I226" i="22" s="1"/>
  <c r="C226" i="22"/>
  <c r="E226" i="22" s="1"/>
  <c r="D226" i="22"/>
  <c r="F226" i="22" s="1"/>
  <c r="H226" i="22"/>
  <c r="J226" i="22" s="1"/>
  <c r="B227" i="22"/>
  <c r="C227" i="22"/>
  <c r="E227" i="22" s="1"/>
  <c r="D227" i="22"/>
  <c r="F227" i="22" s="1"/>
  <c r="G227" i="22"/>
  <c r="I227" i="22" s="1"/>
  <c r="H227" i="22"/>
  <c r="J227" i="22" s="1"/>
  <c r="B228" i="22"/>
  <c r="G228" i="22"/>
  <c r="I228" i="22" s="1"/>
  <c r="B229" i="22"/>
  <c r="B230" i="22"/>
  <c r="C230" i="22"/>
  <c r="E230" i="22" s="1"/>
  <c r="D230" i="22"/>
  <c r="F230" i="22" s="1"/>
  <c r="G230" i="22"/>
  <c r="I230" i="22" s="1"/>
  <c r="H230" i="22"/>
  <c r="J230" i="22" s="1"/>
  <c r="B231" i="22"/>
  <c r="H231" i="22"/>
  <c r="J231" i="22" s="1"/>
  <c r="B232" i="22"/>
  <c r="G232" i="22"/>
  <c r="I232" i="22" s="1"/>
  <c r="B233" i="22"/>
  <c r="B234" i="22"/>
  <c r="C234" i="22"/>
  <c r="E234" i="22" s="1"/>
  <c r="D234" i="22"/>
  <c r="F234" i="22" s="1"/>
  <c r="G234" i="22"/>
  <c r="I234" i="22" s="1"/>
  <c r="H234" i="22"/>
  <c r="J234" i="22" s="1"/>
  <c r="B235" i="22"/>
  <c r="H235" i="22"/>
  <c r="J235" i="22" s="1"/>
  <c r="B236" i="22"/>
  <c r="G236" i="22"/>
  <c r="I236" i="22" s="1"/>
  <c r="B237" i="22"/>
  <c r="B238" i="22"/>
  <c r="C238" i="22"/>
  <c r="E238" i="22" s="1"/>
  <c r="D238" i="22"/>
  <c r="F238" i="22" s="1"/>
  <c r="G238" i="22"/>
  <c r="I238" i="22" s="1"/>
  <c r="H238" i="22"/>
  <c r="J238" i="22" s="1"/>
  <c r="B239" i="22"/>
  <c r="H239" i="22"/>
  <c r="J239" i="22" s="1"/>
  <c r="B240" i="22"/>
  <c r="G240" i="22"/>
  <c r="I240" i="22" s="1"/>
  <c r="B241" i="22"/>
  <c r="B242" i="22"/>
  <c r="C242" i="22"/>
  <c r="E242" i="22" s="1"/>
  <c r="D242" i="22"/>
  <c r="F242" i="22" s="1"/>
  <c r="G242" i="22"/>
  <c r="I242" i="22" s="1"/>
  <c r="H242" i="22"/>
  <c r="J242" i="22" s="1"/>
  <c r="B243" i="22"/>
  <c r="H243" i="22"/>
  <c r="J243" i="22" s="1"/>
  <c r="B244" i="22"/>
  <c r="G244" i="22"/>
  <c r="I244" i="22" s="1"/>
  <c r="B245" i="22"/>
  <c r="B246" i="22"/>
  <c r="C246" i="22"/>
  <c r="E246" i="22" s="1"/>
  <c r="D246" i="22"/>
  <c r="F246" i="22" s="1"/>
  <c r="G246" i="22"/>
  <c r="I246" i="22" s="1"/>
  <c r="H246" i="22"/>
  <c r="J246" i="22" s="1"/>
  <c r="B247" i="22"/>
  <c r="H247" i="22"/>
  <c r="J247" i="22" s="1"/>
  <c r="B248" i="22"/>
  <c r="G248" i="22"/>
  <c r="I248" i="22" s="1"/>
  <c r="B249" i="22"/>
  <c r="B250" i="22"/>
  <c r="C250" i="22"/>
  <c r="E250" i="22" s="1"/>
  <c r="D250" i="22"/>
  <c r="F250" i="22" s="1"/>
  <c r="G250" i="22"/>
  <c r="I250" i="22" s="1"/>
  <c r="H250" i="22"/>
  <c r="J250" i="22" s="1"/>
  <c r="B251" i="22"/>
  <c r="H251" i="22"/>
  <c r="J251" i="22" s="1"/>
  <c r="B252" i="22"/>
  <c r="G252" i="22"/>
  <c r="I252" i="22" s="1"/>
  <c r="B253" i="22"/>
  <c r="B254" i="22"/>
  <c r="C254" i="22"/>
  <c r="E254" i="22" s="1"/>
  <c r="D254" i="22"/>
  <c r="F254" i="22" s="1"/>
  <c r="G254" i="22"/>
  <c r="I254" i="22" s="1"/>
  <c r="H254" i="22"/>
  <c r="J254" i="22" s="1"/>
  <c r="B255" i="22"/>
  <c r="H255" i="22"/>
  <c r="J255" i="22" s="1"/>
  <c r="B256" i="22"/>
  <c r="G256" i="22"/>
  <c r="I256" i="22" s="1"/>
  <c r="B257" i="22"/>
  <c r="B258" i="22"/>
  <c r="C258" i="22"/>
  <c r="E258" i="22" s="1"/>
  <c r="D258" i="22"/>
  <c r="F258" i="22" s="1"/>
  <c r="G258" i="22"/>
  <c r="I258" i="22" s="1"/>
  <c r="H258" i="22"/>
  <c r="J258" i="22" s="1"/>
  <c r="B259" i="22"/>
  <c r="H259" i="22"/>
  <c r="J259" i="22" s="1"/>
  <c r="B260" i="22"/>
  <c r="G260" i="22"/>
  <c r="I260" i="22" s="1"/>
  <c r="B261" i="22"/>
  <c r="B262" i="22"/>
  <c r="C262" i="22"/>
  <c r="E262" i="22" s="1"/>
  <c r="D262" i="22"/>
  <c r="F262" i="22" s="1"/>
  <c r="G262" i="22"/>
  <c r="I262" i="22" s="1"/>
  <c r="H262" i="22"/>
  <c r="J262" i="22" s="1"/>
  <c r="B263" i="22"/>
  <c r="H263" i="22"/>
  <c r="J263" i="22" s="1"/>
  <c r="B264" i="22"/>
  <c r="G264" i="22"/>
  <c r="I264" i="22" s="1"/>
  <c r="B265" i="22"/>
  <c r="B266" i="22"/>
  <c r="C266" i="22"/>
  <c r="E266" i="22" s="1"/>
  <c r="D266" i="22"/>
  <c r="F266" i="22" s="1"/>
  <c r="G266" i="22"/>
  <c r="I266" i="22" s="1"/>
  <c r="H266" i="22"/>
  <c r="J266" i="22" s="1"/>
  <c r="B267" i="22"/>
  <c r="H267" i="22"/>
  <c r="J267" i="22" s="1"/>
  <c r="B268" i="22"/>
  <c r="G268" i="22"/>
  <c r="I268" i="22" s="1"/>
  <c r="B269" i="22"/>
  <c r="B270" i="22"/>
  <c r="C270" i="22"/>
  <c r="E270" i="22" s="1"/>
  <c r="D270" i="22"/>
  <c r="F270" i="22" s="1"/>
  <c r="G270" i="22"/>
  <c r="I270" i="22" s="1"/>
  <c r="H270" i="22"/>
  <c r="J270" i="22" s="1"/>
  <c r="B271" i="22"/>
  <c r="H271" i="22"/>
  <c r="J271" i="22" s="1"/>
  <c r="B272" i="22"/>
  <c r="G272" i="22"/>
  <c r="I272" i="22" s="1"/>
  <c r="B273" i="22"/>
  <c r="B274" i="22"/>
  <c r="C274" i="22"/>
  <c r="E274" i="22" s="1"/>
  <c r="D274" i="22"/>
  <c r="F274" i="22" s="1"/>
  <c r="G274" i="22"/>
  <c r="I274" i="22" s="1"/>
  <c r="H274" i="22"/>
  <c r="J274" i="22" s="1"/>
  <c r="B275" i="22"/>
  <c r="H275" i="22"/>
  <c r="J275" i="22" s="1"/>
  <c r="B276" i="22"/>
  <c r="G276" i="22"/>
  <c r="I276" i="22" s="1"/>
  <c r="B277" i="22"/>
  <c r="B278" i="22"/>
  <c r="C278" i="22"/>
  <c r="E278" i="22" s="1"/>
  <c r="D278" i="22"/>
  <c r="F278" i="22" s="1"/>
  <c r="G278" i="22"/>
  <c r="I278" i="22" s="1"/>
  <c r="H278" i="22"/>
  <c r="J278" i="22" s="1"/>
  <c r="B279" i="22"/>
  <c r="H279" i="22"/>
  <c r="J279" i="22" s="1"/>
  <c r="B280" i="22"/>
  <c r="G280" i="22"/>
  <c r="I280" i="22" s="1"/>
  <c r="B281" i="22"/>
  <c r="B282" i="22"/>
  <c r="C282" i="22"/>
  <c r="E282" i="22" s="1"/>
  <c r="D282" i="22"/>
  <c r="F282" i="22" s="1"/>
  <c r="G282" i="22"/>
  <c r="I282" i="22" s="1"/>
  <c r="H282" i="22"/>
  <c r="J282" i="22" s="1"/>
  <c r="B283" i="22"/>
  <c r="H283" i="22"/>
  <c r="J283" i="22" s="1"/>
  <c r="B284" i="22"/>
  <c r="G284" i="22"/>
  <c r="I284" i="22" s="1"/>
  <c r="B285" i="22"/>
  <c r="B286" i="22"/>
  <c r="C286" i="22"/>
  <c r="E286" i="22" s="1"/>
  <c r="D286" i="22"/>
  <c r="F286" i="22" s="1"/>
  <c r="G286" i="22"/>
  <c r="I286" i="22" s="1"/>
  <c r="H286" i="22"/>
  <c r="J286" i="22" s="1"/>
  <c r="B287" i="22"/>
  <c r="H287" i="22"/>
  <c r="J287" i="22" s="1"/>
  <c r="B288" i="22"/>
  <c r="B289" i="22"/>
  <c r="G289" i="22" s="1"/>
  <c r="I289" i="22" s="1"/>
  <c r="C289" i="22"/>
  <c r="E289" i="22" s="1"/>
  <c r="D289" i="22"/>
  <c r="F289" i="22" s="1"/>
  <c r="B290" i="22"/>
  <c r="C290" i="22" s="1"/>
  <c r="E290" i="22" s="1"/>
  <c r="D290" i="22"/>
  <c r="F290" i="22" s="1"/>
  <c r="G290" i="22"/>
  <c r="I290" i="22" s="1"/>
  <c r="H290" i="22"/>
  <c r="J290" i="22" s="1"/>
  <c r="B291" i="22"/>
  <c r="C291" i="22"/>
  <c r="E291" i="22" s="1"/>
  <c r="D291" i="22"/>
  <c r="F291" i="22" s="1"/>
  <c r="G291" i="22"/>
  <c r="I291" i="22" s="1"/>
  <c r="H291" i="22"/>
  <c r="J291" i="22" s="1"/>
  <c r="B292" i="22"/>
  <c r="B293" i="22"/>
  <c r="G293" i="22" s="1"/>
  <c r="I293" i="22" s="1"/>
  <c r="C293" i="22"/>
  <c r="E293" i="22" s="1"/>
  <c r="D293" i="22"/>
  <c r="F293" i="22" s="1"/>
  <c r="B294" i="22"/>
  <c r="C294" i="22" s="1"/>
  <c r="E294" i="22" s="1"/>
  <c r="D294" i="22"/>
  <c r="F294" i="22" s="1"/>
  <c r="G294" i="22"/>
  <c r="I294" i="22" s="1"/>
  <c r="H294" i="22"/>
  <c r="J294" i="22" s="1"/>
  <c r="B295" i="22"/>
  <c r="C295" i="22"/>
  <c r="E295" i="22" s="1"/>
  <c r="D295" i="22"/>
  <c r="F295" i="22" s="1"/>
  <c r="G295" i="22"/>
  <c r="I295" i="22" s="1"/>
  <c r="H295" i="22"/>
  <c r="J295" i="22" s="1"/>
  <c r="B296" i="22"/>
  <c r="B297" i="22"/>
  <c r="G297" i="22" s="1"/>
  <c r="I297" i="22" s="1"/>
  <c r="C297" i="22"/>
  <c r="E297" i="22" s="1"/>
  <c r="D297" i="22"/>
  <c r="F297" i="22" s="1"/>
  <c r="B298" i="22"/>
  <c r="C298" i="22" s="1"/>
  <c r="E298" i="22" s="1"/>
  <c r="D298" i="22"/>
  <c r="F298" i="22" s="1"/>
  <c r="G298" i="22"/>
  <c r="I298" i="22" s="1"/>
  <c r="H298" i="22"/>
  <c r="J298" i="22" s="1"/>
  <c r="B299" i="22"/>
  <c r="C299" i="22"/>
  <c r="E299" i="22" s="1"/>
  <c r="D299" i="22"/>
  <c r="F299" i="22" s="1"/>
  <c r="G299" i="22"/>
  <c r="I299" i="22" s="1"/>
  <c r="H299" i="22"/>
  <c r="J299" i="22" s="1"/>
  <c r="B300" i="22"/>
  <c r="B301" i="22"/>
  <c r="G301" i="22" s="1"/>
  <c r="I301" i="22" s="1"/>
  <c r="C301" i="22"/>
  <c r="E301" i="22" s="1"/>
  <c r="D301" i="22"/>
  <c r="F301" i="22" s="1"/>
  <c r="B302" i="22"/>
  <c r="C302" i="22" s="1"/>
  <c r="E302" i="22" s="1"/>
  <c r="D302" i="22"/>
  <c r="F302" i="22" s="1"/>
  <c r="G302" i="22"/>
  <c r="I302" i="22" s="1"/>
  <c r="H302" i="22"/>
  <c r="J302" i="22" s="1"/>
  <c r="B303" i="22"/>
  <c r="C303" i="22"/>
  <c r="E303" i="22" s="1"/>
  <c r="D303" i="22"/>
  <c r="F303" i="22" s="1"/>
  <c r="G303" i="22"/>
  <c r="I303" i="22" s="1"/>
  <c r="H303" i="22"/>
  <c r="J303" i="22" s="1"/>
  <c r="B304" i="22"/>
  <c r="B305" i="22"/>
  <c r="G305" i="22" s="1"/>
  <c r="I305" i="22" s="1"/>
  <c r="C305" i="22"/>
  <c r="E305" i="22" s="1"/>
  <c r="D305" i="22"/>
  <c r="F305" i="22" s="1"/>
  <c r="B306" i="22"/>
  <c r="C306" i="22" s="1"/>
  <c r="E306" i="22" s="1"/>
  <c r="D306" i="22"/>
  <c r="F306" i="22" s="1"/>
  <c r="G306" i="22"/>
  <c r="I306" i="22" s="1"/>
  <c r="H306" i="22"/>
  <c r="J306" i="22" s="1"/>
  <c r="B307" i="22"/>
  <c r="C307" i="22"/>
  <c r="E307" i="22" s="1"/>
  <c r="D307" i="22"/>
  <c r="F307" i="22" s="1"/>
  <c r="G307" i="22"/>
  <c r="I307" i="22" s="1"/>
  <c r="H307" i="22"/>
  <c r="J307" i="22" s="1"/>
  <c r="B308" i="22"/>
  <c r="B309" i="22"/>
  <c r="G309" i="22" s="1"/>
  <c r="I309" i="22" s="1"/>
  <c r="C309" i="22"/>
  <c r="E309" i="22" s="1"/>
  <c r="D309" i="22"/>
  <c r="F309" i="22" s="1"/>
  <c r="H309" i="22"/>
  <c r="J309" i="22" s="1"/>
  <c r="B310" i="22"/>
  <c r="C310" i="22"/>
  <c r="E310" i="22" s="1"/>
  <c r="D310" i="22"/>
  <c r="F310" i="22" s="1"/>
  <c r="G310" i="22"/>
  <c r="I310" i="22" s="1"/>
  <c r="H310" i="22"/>
  <c r="J310" i="22" s="1"/>
  <c r="B311" i="22"/>
  <c r="B312" i="22"/>
  <c r="H312" i="22" s="1"/>
  <c r="J312" i="22" s="1"/>
  <c r="C312" i="22"/>
  <c r="E312" i="22" s="1"/>
  <c r="D312" i="22"/>
  <c r="F312" i="22" s="1"/>
  <c r="G312" i="22"/>
  <c r="I312" i="22" s="1"/>
  <c r="B313" i="22"/>
  <c r="G313" i="22" s="1"/>
  <c r="I313" i="22" s="1"/>
  <c r="C313" i="22"/>
  <c r="E313" i="22" s="1"/>
  <c r="D313" i="22"/>
  <c r="F313" i="22" s="1"/>
  <c r="H313" i="22"/>
  <c r="J313" i="22" s="1"/>
  <c r="B314" i="22"/>
  <c r="C314" i="22"/>
  <c r="E314" i="22" s="1"/>
  <c r="D314" i="22"/>
  <c r="F314" i="22" s="1"/>
  <c r="G314" i="22"/>
  <c r="I314" i="22" s="1"/>
  <c r="H314" i="22"/>
  <c r="J314" i="22" s="1"/>
  <c r="B315" i="22"/>
  <c r="B316" i="22"/>
  <c r="H316" i="22" s="1"/>
  <c r="J316" i="22" s="1"/>
  <c r="C316" i="22"/>
  <c r="E316" i="22" s="1"/>
  <c r="D316" i="22"/>
  <c r="F316" i="22" s="1"/>
  <c r="G316" i="22"/>
  <c r="I316" i="22" s="1"/>
  <c r="B317" i="22"/>
  <c r="G317" i="22" s="1"/>
  <c r="I317" i="22" s="1"/>
  <c r="C317" i="22"/>
  <c r="E317" i="22" s="1"/>
  <c r="D317" i="22"/>
  <c r="F317" i="22" s="1"/>
  <c r="H317" i="22"/>
  <c r="J317" i="22" s="1"/>
  <c r="B318" i="22"/>
  <c r="C318" i="22"/>
  <c r="E318" i="22" s="1"/>
  <c r="D318" i="22"/>
  <c r="F318" i="22" s="1"/>
  <c r="G318" i="22"/>
  <c r="I318" i="22" s="1"/>
  <c r="H318" i="22"/>
  <c r="J318" i="22" s="1"/>
  <c r="B319" i="22"/>
  <c r="B320" i="22"/>
  <c r="H320" i="22" s="1"/>
  <c r="J320" i="22" s="1"/>
  <c r="C320" i="22"/>
  <c r="E320" i="22" s="1"/>
  <c r="D320" i="22"/>
  <c r="F320" i="22" s="1"/>
  <c r="G320" i="22"/>
  <c r="I320" i="22" s="1"/>
  <c r="B321" i="22"/>
  <c r="G321" i="22" s="1"/>
  <c r="I321" i="22" s="1"/>
  <c r="C321" i="22"/>
  <c r="E321" i="22" s="1"/>
  <c r="D321" i="22"/>
  <c r="F321" i="22" s="1"/>
  <c r="H321" i="22"/>
  <c r="J321" i="22" s="1"/>
  <c r="B322" i="22"/>
  <c r="C322" i="22"/>
  <c r="E322" i="22" s="1"/>
  <c r="D322" i="22"/>
  <c r="F322" i="22" s="1"/>
  <c r="G322" i="22"/>
  <c r="I322" i="22" s="1"/>
  <c r="H322" i="22"/>
  <c r="J322" i="22" s="1"/>
  <c r="B323" i="22"/>
  <c r="B324" i="22"/>
  <c r="H324" i="22" s="1"/>
  <c r="J324" i="22" s="1"/>
  <c r="C324" i="22"/>
  <c r="E324" i="22" s="1"/>
  <c r="D324" i="22"/>
  <c r="F324" i="22" s="1"/>
  <c r="G324" i="22"/>
  <c r="I324" i="22" s="1"/>
  <c r="B325" i="22"/>
  <c r="G325" i="22" s="1"/>
  <c r="I325" i="22" s="1"/>
  <c r="C325" i="22"/>
  <c r="E325" i="22" s="1"/>
  <c r="D325" i="22"/>
  <c r="F325" i="22" s="1"/>
  <c r="H325" i="22"/>
  <c r="J325" i="22" s="1"/>
  <c r="B326" i="22"/>
  <c r="C326" i="22"/>
  <c r="E326" i="22" s="1"/>
  <c r="D326" i="22"/>
  <c r="F326" i="22" s="1"/>
  <c r="G326" i="22"/>
  <c r="I326" i="22" s="1"/>
  <c r="H326" i="22"/>
  <c r="J326" i="22" s="1"/>
  <c r="B327" i="22"/>
  <c r="B328" i="22"/>
  <c r="H328" i="22" s="1"/>
  <c r="J328" i="22" s="1"/>
  <c r="C328" i="22"/>
  <c r="E328" i="22" s="1"/>
  <c r="D328" i="22"/>
  <c r="F328" i="22" s="1"/>
  <c r="G328" i="22"/>
  <c r="I328" i="22" s="1"/>
  <c r="B329" i="22"/>
  <c r="G329" i="22" s="1"/>
  <c r="I329" i="22" s="1"/>
  <c r="C329" i="22"/>
  <c r="E329" i="22" s="1"/>
  <c r="D329" i="22"/>
  <c r="F329" i="22" s="1"/>
  <c r="H329" i="22"/>
  <c r="J329" i="22" s="1"/>
  <c r="B330" i="22"/>
  <c r="C330" i="22"/>
  <c r="E330" i="22" s="1"/>
  <c r="D330" i="22"/>
  <c r="F330" i="22" s="1"/>
  <c r="G330" i="22"/>
  <c r="I330" i="22" s="1"/>
  <c r="H330" i="22"/>
  <c r="J330" i="22" s="1"/>
  <c r="B331" i="22"/>
  <c r="B332" i="22"/>
  <c r="H332" i="22" s="1"/>
  <c r="J332" i="22" s="1"/>
  <c r="C332" i="22"/>
  <c r="E332" i="22" s="1"/>
  <c r="D332" i="22"/>
  <c r="F332" i="22" s="1"/>
  <c r="G332" i="22"/>
  <c r="I332" i="22" s="1"/>
  <c r="B333" i="22"/>
  <c r="G333" i="22" s="1"/>
  <c r="I333" i="22" s="1"/>
  <c r="C333" i="22"/>
  <c r="E333" i="22" s="1"/>
  <c r="D333" i="22"/>
  <c r="F333" i="22" s="1"/>
  <c r="H333" i="22"/>
  <c r="J333" i="22" s="1"/>
  <c r="B334" i="22"/>
  <c r="C334" i="22"/>
  <c r="E334" i="22" s="1"/>
  <c r="D334" i="22"/>
  <c r="F334" i="22" s="1"/>
  <c r="G334" i="22"/>
  <c r="I334" i="22" s="1"/>
  <c r="H334" i="22"/>
  <c r="J334" i="22" s="1"/>
  <c r="B335" i="22"/>
  <c r="B336" i="22"/>
  <c r="H336" i="22" s="1"/>
  <c r="J336" i="22" s="1"/>
  <c r="C336" i="22"/>
  <c r="E336" i="22" s="1"/>
  <c r="D336" i="22"/>
  <c r="F336" i="22" s="1"/>
  <c r="G336" i="22"/>
  <c r="I336" i="22" s="1"/>
  <c r="B337" i="22"/>
  <c r="G337" i="22" s="1"/>
  <c r="I337" i="22" s="1"/>
  <c r="C337" i="22"/>
  <c r="E337" i="22" s="1"/>
  <c r="D337" i="22"/>
  <c r="F337" i="22" s="1"/>
  <c r="H337" i="22"/>
  <c r="J337" i="22" s="1"/>
  <c r="B338" i="22"/>
  <c r="C338" i="22"/>
  <c r="E338" i="22" s="1"/>
  <c r="D338" i="22"/>
  <c r="F338" i="22" s="1"/>
  <c r="G338" i="22"/>
  <c r="I338" i="22" s="1"/>
  <c r="H338" i="22"/>
  <c r="J338" i="22" s="1"/>
  <c r="B339" i="22"/>
  <c r="B340" i="22"/>
  <c r="H340" i="22" s="1"/>
  <c r="J340" i="22" s="1"/>
  <c r="C340" i="22"/>
  <c r="E340" i="22" s="1"/>
  <c r="D340" i="22"/>
  <c r="F340" i="22" s="1"/>
  <c r="G340" i="22"/>
  <c r="I340" i="22" s="1"/>
  <c r="B341" i="22"/>
  <c r="G341" i="22" s="1"/>
  <c r="I341" i="22" s="1"/>
  <c r="C341" i="22"/>
  <c r="E341" i="22" s="1"/>
  <c r="D341" i="22"/>
  <c r="F341" i="22" s="1"/>
  <c r="H341" i="22"/>
  <c r="J341" i="22" s="1"/>
  <c r="B342" i="22"/>
  <c r="C342" i="22"/>
  <c r="E342" i="22" s="1"/>
  <c r="D342" i="22"/>
  <c r="F342" i="22" s="1"/>
  <c r="G342" i="22"/>
  <c r="I342" i="22" s="1"/>
  <c r="H342" i="22"/>
  <c r="J342" i="22" s="1"/>
  <c r="B343" i="22"/>
  <c r="C343" i="22" s="1"/>
  <c r="E343" i="22" s="1"/>
  <c r="B344" i="22"/>
  <c r="H344" i="22" s="1"/>
  <c r="J344" i="22" s="1"/>
  <c r="C344" i="22"/>
  <c r="E344" i="22" s="1"/>
  <c r="D344" i="22"/>
  <c r="F344" i="22" s="1"/>
  <c r="G344" i="22"/>
  <c r="I344" i="22" s="1"/>
  <c r="B345" i="22"/>
  <c r="G345" i="22" s="1"/>
  <c r="I345" i="22" s="1"/>
  <c r="C345" i="22"/>
  <c r="E345" i="22" s="1"/>
  <c r="D345" i="22"/>
  <c r="F345" i="22" s="1"/>
  <c r="H345" i="22"/>
  <c r="J345" i="22" s="1"/>
  <c r="B346" i="22"/>
  <c r="C346" i="22"/>
  <c r="E346" i="22" s="1"/>
  <c r="D346" i="22"/>
  <c r="F346" i="22" s="1"/>
  <c r="G346" i="22"/>
  <c r="I346" i="22" s="1"/>
  <c r="H346" i="22"/>
  <c r="J346" i="22" s="1"/>
  <c r="B347" i="22"/>
  <c r="B348" i="22"/>
  <c r="H348" i="22" s="1"/>
  <c r="J348" i="22" s="1"/>
  <c r="C348" i="22"/>
  <c r="E348" i="22" s="1"/>
  <c r="D348" i="22"/>
  <c r="F348" i="22" s="1"/>
  <c r="G348" i="22"/>
  <c r="I348" i="22" s="1"/>
  <c r="B349" i="22"/>
  <c r="G349" i="22" s="1"/>
  <c r="I349" i="22" s="1"/>
  <c r="C349" i="22"/>
  <c r="E349" i="22" s="1"/>
  <c r="D349" i="22"/>
  <c r="F349" i="22" s="1"/>
  <c r="H349" i="22"/>
  <c r="J349" i="22" s="1"/>
  <c r="B350" i="22"/>
  <c r="C350" i="22"/>
  <c r="E350" i="22" s="1"/>
  <c r="D350" i="22"/>
  <c r="F350" i="22" s="1"/>
  <c r="G350" i="22"/>
  <c r="I350" i="22" s="1"/>
  <c r="H350" i="22"/>
  <c r="J350" i="22" s="1"/>
  <c r="B351" i="22"/>
  <c r="G351" i="22" s="1"/>
  <c r="I351" i="22" s="1"/>
  <c r="C351" i="22"/>
  <c r="E351" i="22" s="1"/>
  <c r="D351" i="22"/>
  <c r="F351" i="22" s="1"/>
  <c r="B352" i="22"/>
  <c r="H352" i="22" s="1"/>
  <c r="J352" i="22" s="1"/>
  <c r="C352" i="22"/>
  <c r="E352" i="22" s="1"/>
  <c r="D352" i="22"/>
  <c r="F352" i="22" s="1"/>
  <c r="G352" i="22"/>
  <c r="I352" i="22" s="1"/>
  <c r="B353" i="22"/>
  <c r="G353" i="22" s="1"/>
  <c r="I353" i="22" s="1"/>
  <c r="C353" i="22"/>
  <c r="E353" i="22" s="1"/>
  <c r="D353" i="22"/>
  <c r="F353" i="22" s="1"/>
  <c r="H353" i="22"/>
  <c r="J353" i="22" s="1"/>
  <c r="B354" i="22"/>
  <c r="C354" i="22"/>
  <c r="E354" i="22" s="1"/>
  <c r="D354" i="22"/>
  <c r="F354" i="22" s="1"/>
  <c r="G354" i="22"/>
  <c r="I354" i="22" s="1"/>
  <c r="H354" i="22"/>
  <c r="J354" i="22" s="1"/>
  <c r="B355" i="22"/>
  <c r="G355" i="22" s="1"/>
  <c r="I355" i="22" s="1"/>
  <c r="C355" i="22"/>
  <c r="E355" i="22" s="1"/>
  <c r="D355" i="22"/>
  <c r="F355" i="22" s="1"/>
  <c r="B356" i="22"/>
  <c r="H356" i="22" s="1"/>
  <c r="J356" i="22" s="1"/>
  <c r="C356" i="22"/>
  <c r="E356" i="22" s="1"/>
  <c r="D356" i="22"/>
  <c r="F356" i="22" s="1"/>
  <c r="G356" i="22"/>
  <c r="I356" i="22" s="1"/>
  <c r="B357" i="22"/>
  <c r="G357" i="22" s="1"/>
  <c r="I357" i="22" s="1"/>
  <c r="C357" i="22"/>
  <c r="E357" i="22" s="1"/>
  <c r="D357" i="22"/>
  <c r="F357" i="22" s="1"/>
  <c r="H357" i="22"/>
  <c r="J357" i="22" s="1"/>
  <c r="B358" i="22"/>
  <c r="C358" i="22"/>
  <c r="E358" i="22" s="1"/>
  <c r="D358" i="22"/>
  <c r="F358" i="22" s="1"/>
  <c r="G358" i="22"/>
  <c r="I358" i="22" s="1"/>
  <c r="H358" i="22"/>
  <c r="J358" i="22" s="1"/>
  <c r="B359" i="22"/>
  <c r="G359" i="22" s="1"/>
  <c r="I359" i="22" s="1"/>
  <c r="C359" i="22"/>
  <c r="E359" i="22" s="1"/>
  <c r="D359" i="22"/>
  <c r="F359" i="22" s="1"/>
  <c r="B360" i="22"/>
  <c r="H360" i="22" s="1"/>
  <c r="J360" i="22" s="1"/>
  <c r="C360" i="22"/>
  <c r="E360" i="22" s="1"/>
  <c r="D360" i="22"/>
  <c r="F360" i="22" s="1"/>
  <c r="G360" i="22"/>
  <c r="I360" i="22" s="1"/>
  <c r="B361" i="22"/>
  <c r="G361" i="22" s="1"/>
  <c r="I361" i="22" s="1"/>
  <c r="C361" i="22"/>
  <c r="E361" i="22" s="1"/>
  <c r="D361" i="22"/>
  <c r="F361" i="22" s="1"/>
  <c r="H361" i="22"/>
  <c r="J361" i="22" s="1"/>
  <c r="B362" i="22"/>
  <c r="C362" i="22"/>
  <c r="E362" i="22" s="1"/>
  <c r="D362" i="22"/>
  <c r="F362" i="22" s="1"/>
  <c r="G362" i="22"/>
  <c r="I362" i="22" s="1"/>
  <c r="H362" i="22"/>
  <c r="J362" i="22" s="1"/>
  <c r="B363" i="22"/>
  <c r="G363" i="22" s="1"/>
  <c r="I363" i="22" s="1"/>
  <c r="C363" i="22"/>
  <c r="E363" i="22" s="1"/>
  <c r="D363" i="22"/>
  <c r="F363" i="22" s="1"/>
  <c r="B364" i="22"/>
  <c r="H364" i="22" s="1"/>
  <c r="J364" i="22" s="1"/>
  <c r="C364" i="22"/>
  <c r="E364" i="22" s="1"/>
  <c r="D364" i="22"/>
  <c r="F364" i="22" s="1"/>
  <c r="G364" i="22"/>
  <c r="I364" i="22" s="1"/>
  <c r="B365" i="22"/>
  <c r="G365" i="22" s="1"/>
  <c r="I365" i="22" s="1"/>
  <c r="C365" i="22"/>
  <c r="E365" i="22" s="1"/>
  <c r="D365" i="22"/>
  <c r="F365" i="22" s="1"/>
  <c r="H365" i="22"/>
  <c r="J365" i="22" s="1"/>
  <c r="B366" i="22"/>
  <c r="C366" i="22"/>
  <c r="E366" i="22" s="1"/>
  <c r="D366" i="22"/>
  <c r="F366" i="22" s="1"/>
  <c r="G366" i="22"/>
  <c r="I366" i="22" s="1"/>
  <c r="H366" i="22"/>
  <c r="J366" i="22" s="1"/>
  <c r="B367" i="22"/>
  <c r="G367" i="22" s="1"/>
  <c r="I367" i="22" s="1"/>
  <c r="C367" i="22"/>
  <c r="E367" i="22" s="1"/>
  <c r="D367" i="22"/>
  <c r="F367" i="22" s="1"/>
  <c r="B368" i="22"/>
  <c r="H368" i="22" s="1"/>
  <c r="J368" i="22" s="1"/>
  <c r="C368" i="22"/>
  <c r="E368" i="22" s="1"/>
  <c r="D368" i="22"/>
  <c r="F368" i="22" s="1"/>
  <c r="G368" i="22"/>
  <c r="I368" i="22" s="1"/>
  <c r="B369" i="22"/>
  <c r="G369" i="22" s="1"/>
  <c r="I369" i="22" s="1"/>
  <c r="C369" i="22"/>
  <c r="E369" i="22" s="1"/>
  <c r="D369" i="22"/>
  <c r="F369" i="22" s="1"/>
  <c r="H369" i="22"/>
  <c r="J369" i="22" s="1"/>
  <c r="B370" i="22"/>
  <c r="C370" i="22"/>
  <c r="E370" i="22" s="1"/>
  <c r="D370" i="22"/>
  <c r="F370" i="22" s="1"/>
  <c r="G370" i="22"/>
  <c r="I370" i="22" s="1"/>
  <c r="H370" i="22"/>
  <c r="J370" i="22" s="1"/>
  <c r="B371" i="22"/>
  <c r="G371" i="22" s="1"/>
  <c r="I371" i="22" s="1"/>
  <c r="C371" i="22"/>
  <c r="E371" i="22" s="1"/>
  <c r="D371" i="22"/>
  <c r="F371" i="22" s="1"/>
  <c r="B372" i="22"/>
  <c r="H372" i="22" s="1"/>
  <c r="J372" i="22" s="1"/>
  <c r="C372" i="22"/>
  <c r="E372" i="22" s="1"/>
  <c r="D372" i="22"/>
  <c r="F372" i="22" s="1"/>
  <c r="G372" i="22"/>
  <c r="I372" i="22" s="1"/>
  <c r="B373" i="22"/>
  <c r="G373" i="22" s="1"/>
  <c r="I373" i="22" s="1"/>
  <c r="C373" i="22"/>
  <c r="E373" i="22" s="1"/>
  <c r="D373" i="22"/>
  <c r="F373" i="22" s="1"/>
  <c r="H373" i="22"/>
  <c r="J373" i="22" s="1"/>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50" i="20"/>
  <c r="I51" i="20"/>
  <c r="I52" i="20"/>
  <c r="I53" i="20"/>
  <c r="I54" i="20"/>
  <c r="I55" i="20"/>
  <c r="I56" i="20"/>
  <c r="I57" i="20"/>
  <c r="I58" i="20"/>
  <c r="I59" i="20"/>
  <c r="I60" i="20"/>
  <c r="I61" i="20"/>
  <c r="I62" i="20"/>
  <c r="I63" i="20"/>
  <c r="I64" i="20"/>
  <c r="I65" i="20"/>
  <c r="I66" i="20"/>
  <c r="I67" i="20"/>
  <c r="I68" i="20"/>
  <c r="I69" i="20"/>
  <c r="I70" i="20"/>
  <c r="I71" i="20"/>
  <c r="I72" i="20"/>
  <c r="I73" i="20"/>
  <c r="I74" i="20"/>
  <c r="I75" i="20"/>
  <c r="I76" i="20"/>
  <c r="I77" i="20"/>
  <c r="I78" i="20"/>
  <c r="I79" i="20"/>
  <c r="I80" i="20"/>
  <c r="I81" i="20"/>
  <c r="I82" i="20"/>
  <c r="I83" i="20"/>
  <c r="I84" i="20"/>
  <c r="I85" i="20"/>
  <c r="I86" i="20"/>
  <c r="I87" i="20"/>
  <c r="I88" i="20"/>
  <c r="I89" i="20"/>
  <c r="I90" i="20"/>
  <c r="I91" i="20"/>
  <c r="I92" i="20"/>
  <c r="I93" i="20"/>
  <c r="I94" i="20"/>
  <c r="I95" i="20"/>
  <c r="I96" i="20"/>
  <c r="I97" i="20"/>
  <c r="I98" i="20"/>
  <c r="I99" i="20"/>
  <c r="I100" i="20"/>
  <c r="I101" i="20"/>
  <c r="I102" i="20"/>
  <c r="I103" i="20"/>
  <c r="I104" i="20"/>
  <c r="I105" i="20"/>
  <c r="I106" i="20"/>
  <c r="I107" i="20"/>
  <c r="I108" i="20"/>
  <c r="I109" i="20"/>
  <c r="I110" i="20"/>
  <c r="I111" i="20"/>
  <c r="I112" i="20"/>
  <c r="I113" i="20"/>
  <c r="I114" i="20"/>
  <c r="I115" i="20"/>
  <c r="I116" i="20"/>
  <c r="I117" i="20"/>
  <c r="I118" i="20"/>
  <c r="I119" i="20"/>
  <c r="I120" i="20"/>
  <c r="I121" i="20"/>
  <c r="I122" i="20"/>
  <c r="I123" i="20"/>
  <c r="I124" i="20"/>
  <c r="I125" i="20"/>
  <c r="I126" i="20"/>
  <c r="I127" i="20"/>
  <c r="I128" i="20"/>
  <c r="I129" i="20"/>
  <c r="I130" i="20"/>
  <c r="I131" i="20"/>
  <c r="I132" i="20"/>
  <c r="I133" i="20"/>
  <c r="I134" i="20"/>
  <c r="I135" i="20"/>
  <c r="I136" i="20"/>
  <c r="I137" i="20"/>
  <c r="I138" i="20"/>
  <c r="I139" i="20"/>
  <c r="I140" i="20"/>
  <c r="I141" i="20"/>
  <c r="I142" i="20"/>
  <c r="I143" i="20"/>
  <c r="I144" i="20"/>
  <c r="I145" i="20"/>
  <c r="I146" i="20"/>
  <c r="I147" i="20"/>
  <c r="I148" i="20"/>
  <c r="I149" i="20"/>
  <c r="I150" i="20"/>
  <c r="I151" i="20"/>
  <c r="I152" i="20"/>
  <c r="I153" i="20"/>
  <c r="I154" i="20"/>
  <c r="I155" i="20"/>
  <c r="I156" i="20"/>
  <c r="I157" i="20"/>
  <c r="I158" i="20"/>
  <c r="I159" i="20"/>
  <c r="I160" i="20"/>
  <c r="I161" i="20"/>
  <c r="I162" i="20"/>
  <c r="I163" i="20"/>
  <c r="I164" i="20"/>
  <c r="I165" i="20"/>
  <c r="I166" i="20"/>
  <c r="I167" i="20"/>
  <c r="I168" i="20"/>
  <c r="I169" i="20"/>
  <c r="I170" i="20"/>
  <c r="E13" i="20"/>
  <c r="E14" i="20"/>
  <c r="E15"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E48" i="20"/>
  <c r="E49" i="20"/>
  <c r="E50" i="20"/>
  <c r="E51" i="20"/>
  <c r="E52" i="20"/>
  <c r="E53" i="20"/>
  <c r="E54" i="20"/>
  <c r="E55" i="20"/>
  <c r="E56" i="20"/>
  <c r="E57" i="20"/>
  <c r="E58" i="20"/>
  <c r="E59" i="20"/>
  <c r="E60" i="20"/>
  <c r="E61" i="20"/>
  <c r="E62" i="20"/>
  <c r="E63" i="20"/>
  <c r="E64" i="20"/>
  <c r="E65" i="20"/>
  <c r="E66" i="20"/>
  <c r="E67" i="20"/>
  <c r="E68" i="20"/>
  <c r="E69" i="20"/>
  <c r="E70" i="20"/>
  <c r="E71" i="20"/>
  <c r="E72" i="20"/>
  <c r="E73" i="20"/>
  <c r="E74" i="20"/>
  <c r="E75" i="20"/>
  <c r="E76" i="20"/>
  <c r="E77" i="20"/>
  <c r="E78" i="20"/>
  <c r="E79" i="20"/>
  <c r="E80" i="20"/>
  <c r="E81" i="20"/>
  <c r="E82" i="20"/>
  <c r="E83" i="20"/>
  <c r="E84" i="20"/>
  <c r="E85" i="20"/>
  <c r="E86" i="20"/>
  <c r="E87" i="20"/>
  <c r="E88" i="20"/>
  <c r="E89" i="20"/>
  <c r="E90" i="20"/>
  <c r="E91" i="20"/>
  <c r="E92" i="20"/>
  <c r="E93" i="20"/>
  <c r="E94" i="20"/>
  <c r="E95" i="20"/>
  <c r="E96" i="20"/>
  <c r="E97" i="20"/>
  <c r="E98" i="20"/>
  <c r="E99" i="20"/>
  <c r="E100" i="20"/>
  <c r="E101" i="20"/>
  <c r="E102" i="20"/>
  <c r="E103" i="20"/>
  <c r="E104" i="20"/>
  <c r="E105" i="20"/>
  <c r="E106" i="20"/>
  <c r="E107" i="20"/>
  <c r="E108" i="20"/>
  <c r="E109" i="20"/>
  <c r="E110" i="20"/>
  <c r="E111" i="20"/>
  <c r="E112" i="20"/>
  <c r="E113" i="20"/>
  <c r="E114" i="20"/>
  <c r="E115" i="20"/>
  <c r="E116" i="20"/>
  <c r="E117" i="20"/>
  <c r="E118" i="20"/>
  <c r="E119" i="20"/>
  <c r="E120" i="20"/>
  <c r="E121" i="20"/>
  <c r="E122" i="20"/>
  <c r="E123" i="20"/>
  <c r="E124" i="20"/>
  <c r="E125" i="20"/>
  <c r="E126" i="20"/>
  <c r="E127" i="20"/>
  <c r="E128" i="20"/>
  <c r="E129" i="20"/>
  <c r="E130" i="20"/>
  <c r="E131" i="20"/>
  <c r="E132" i="20"/>
  <c r="E133" i="20"/>
  <c r="E134" i="20"/>
  <c r="E135" i="20"/>
  <c r="E136" i="20"/>
  <c r="E137" i="20"/>
  <c r="E138" i="20"/>
  <c r="E139" i="20"/>
  <c r="E140" i="20"/>
  <c r="E141" i="20"/>
  <c r="E142" i="20"/>
  <c r="E143" i="20"/>
  <c r="E144" i="20"/>
  <c r="E145" i="20"/>
  <c r="E146" i="20"/>
  <c r="E147" i="20"/>
  <c r="E148" i="20"/>
  <c r="E149" i="20"/>
  <c r="E150" i="20"/>
  <c r="E151" i="20"/>
  <c r="E152" i="20"/>
  <c r="E153" i="20"/>
  <c r="E154" i="20"/>
  <c r="E155" i="20"/>
  <c r="E156" i="20"/>
  <c r="E157" i="20"/>
  <c r="E158" i="20"/>
  <c r="E159" i="20"/>
  <c r="E160" i="20"/>
  <c r="E161" i="20"/>
  <c r="E162" i="20"/>
  <c r="E163" i="20"/>
  <c r="E164" i="20"/>
  <c r="E165" i="20"/>
  <c r="E166" i="20"/>
  <c r="E167" i="20"/>
  <c r="E168" i="20"/>
  <c r="E169" i="20"/>
  <c r="E170" i="20"/>
  <c r="H12" i="20"/>
  <c r="P14" i="20"/>
  <c r="P16" i="20"/>
  <c r="P18" i="20"/>
  <c r="P20" i="20"/>
  <c r="P22" i="20"/>
  <c r="P24" i="20"/>
  <c r="P26" i="20"/>
  <c r="P28" i="20"/>
  <c r="P30" i="20"/>
  <c r="P32" i="20"/>
  <c r="P34" i="20"/>
  <c r="P36" i="20"/>
  <c r="P38" i="20"/>
  <c r="P40" i="20"/>
  <c r="P42" i="20"/>
  <c r="P44" i="20"/>
  <c r="P46" i="20"/>
  <c r="P48" i="20"/>
  <c r="P50" i="20"/>
  <c r="P52" i="20"/>
  <c r="P54" i="20"/>
  <c r="P56" i="20"/>
  <c r="P58" i="20"/>
  <c r="P60" i="20"/>
  <c r="P62" i="20"/>
  <c r="P64" i="20"/>
  <c r="P66" i="20"/>
  <c r="P68" i="20"/>
  <c r="P70" i="20"/>
  <c r="P72" i="20"/>
  <c r="P74" i="20"/>
  <c r="P76" i="20"/>
  <c r="P78" i="20"/>
  <c r="P80" i="20"/>
  <c r="P82" i="20"/>
  <c r="P84" i="20"/>
  <c r="P86" i="20"/>
  <c r="P88" i="20"/>
  <c r="P90" i="20"/>
  <c r="P92" i="20"/>
  <c r="P94" i="20"/>
  <c r="P96" i="20"/>
  <c r="P98" i="20"/>
  <c r="P100" i="20"/>
  <c r="P102" i="20"/>
  <c r="P104" i="20"/>
  <c r="P106" i="20"/>
  <c r="P108" i="20"/>
  <c r="P110" i="20"/>
  <c r="P112" i="20"/>
  <c r="P114" i="20"/>
  <c r="P116" i="20"/>
  <c r="P118" i="20"/>
  <c r="P120" i="20"/>
  <c r="P122" i="20"/>
  <c r="P124" i="20"/>
  <c r="P126" i="20"/>
  <c r="P128" i="20"/>
  <c r="P130" i="20"/>
  <c r="P132" i="20"/>
  <c r="P134" i="20"/>
  <c r="P136" i="20"/>
  <c r="P138" i="20"/>
  <c r="P140" i="20"/>
  <c r="P142" i="20"/>
  <c r="P144" i="20"/>
  <c r="P146" i="20"/>
  <c r="P148" i="20"/>
  <c r="P150" i="20"/>
  <c r="P152" i="20"/>
  <c r="P154" i="20"/>
  <c r="P156" i="20"/>
  <c r="P158" i="20"/>
  <c r="P160" i="20"/>
  <c r="P162" i="20"/>
  <c r="P164" i="20"/>
  <c r="P166" i="20"/>
  <c r="P168" i="20"/>
  <c r="P170" i="20"/>
  <c r="B1" i="20"/>
  <c r="M2" i="20"/>
  <c r="M3" i="20" s="1"/>
  <c r="O3" i="20" s="1"/>
  <c r="R3" i="20" s="1"/>
  <c r="E3" i="20"/>
  <c r="I3" i="20"/>
  <c r="B5" i="20"/>
  <c r="U3" i="20" s="1"/>
  <c r="M5" i="20"/>
  <c r="D6" i="20"/>
  <c r="D8" i="20"/>
  <c r="A12" i="20"/>
  <c r="B12" i="20" s="1"/>
  <c r="E12" i="20"/>
  <c r="F12" i="20" s="1"/>
  <c r="I12" i="20"/>
  <c r="M12" i="20"/>
  <c r="A4" i="19"/>
  <c r="C4" i="19" s="1"/>
  <c r="B4" i="19"/>
  <c r="H4" i="19"/>
  <c r="I4" i="19"/>
  <c r="J4" i="19"/>
  <c r="I5" i="19"/>
  <c r="A4" i="18"/>
  <c r="A5" i="18" s="1"/>
  <c r="B4" i="18"/>
  <c r="D4" i="18"/>
  <c r="H4" i="18"/>
  <c r="I4" i="18"/>
  <c r="J4" i="18"/>
  <c r="B5" i="18"/>
  <c r="D5" i="18"/>
  <c r="H5" i="18"/>
  <c r="J5" i="18"/>
  <c r="B6" i="18"/>
  <c r="D6" i="18"/>
  <c r="H6" i="18"/>
  <c r="J6" i="18"/>
  <c r="B7" i="18"/>
  <c r="D7" i="18"/>
  <c r="H7" i="18"/>
  <c r="J7" i="18"/>
  <c r="B8" i="18"/>
  <c r="D8" i="18"/>
  <c r="H8" i="18"/>
  <c r="J8" i="18"/>
  <c r="B9" i="18"/>
  <c r="D9" i="18"/>
  <c r="H9" i="18"/>
  <c r="J9" i="18"/>
  <c r="B10" i="18"/>
  <c r="D10" i="18"/>
  <c r="H10" i="18"/>
  <c r="J10" i="18"/>
  <c r="B11" i="18"/>
  <c r="D11" i="18"/>
  <c r="H11" i="18"/>
  <c r="J11" i="18"/>
  <c r="B12" i="18"/>
  <c r="D12" i="18"/>
  <c r="H12" i="18"/>
  <c r="J12" i="18"/>
  <c r="B13" i="18"/>
  <c r="D13" i="18"/>
  <c r="H13" i="18"/>
  <c r="J13" i="18"/>
  <c r="B14" i="18"/>
  <c r="D14" i="18"/>
  <c r="H14" i="18"/>
  <c r="J14" i="18"/>
  <c r="B15" i="18"/>
  <c r="D15" i="18"/>
  <c r="H15" i="18"/>
  <c r="J15" i="18"/>
  <c r="B16" i="18"/>
  <c r="D16" i="18"/>
  <c r="H16" i="18"/>
  <c r="J16" i="18"/>
  <c r="B17" i="18"/>
  <c r="D17" i="18"/>
  <c r="H17" i="18"/>
  <c r="J17" i="18"/>
  <c r="B18" i="18"/>
  <c r="D18" i="18"/>
  <c r="H18" i="18"/>
  <c r="J18" i="18"/>
  <c r="B19" i="18"/>
  <c r="D19" i="18"/>
  <c r="H19" i="18"/>
  <c r="J19" i="18"/>
  <c r="B20" i="18"/>
  <c r="D20" i="18"/>
  <c r="H20" i="18"/>
  <c r="J20" i="18"/>
  <c r="B21" i="18"/>
  <c r="D21" i="18"/>
  <c r="H21" i="18"/>
  <c r="J21" i="18"/>
  <c r="B22" i="18"/>
  <c r="D22" i="18"/>
  <c r="H22" i="18"/>
  <c r="J22" i="18"/>
  <c r="B23" i="18"/>
  <c r="D23" i="18"/>
  <c r="H23" i="18"/>
  <c r="J23" i="18"/>
  <c r="B24" i="18"/>
  <c r="D24" i="18"/>
  <c r="H24" i="18"/>
  <c r="J24" i="18"/>
  <c r="B25" i="18"/>
  <c r="D25" i="18"/>
  <c r="H25" i="18"/>
  <c r="J25" i="18"/>
  <c r="B26" i="18"/>
  <c r="D26" i="18"/>
  <c r="H26" i="18"/>
  <c r="J26" i="18"/>
  <c r="B27" i="18"/>
  <c r="D27" i="18"/>
  <c r="H27" i="18"/>
  <c r="J27" i="18"/>
  <c r="B28" i="18"/>
  <c r="D28" i="18"/>
  <c r="H28" i="18"/>
  <c r="J28" i="18"/>
  <c r="B29" i="18"/>
  <c r="D29" i="18"/>
  <c r="H29" i="18"/>
  <c r="J29" i="18"/>
  <c r="B30" i="18"/>
  <c r="D30" i="18"/>
  <c r="H30" i="18"/>
  <c r="J30" i="18"/>
  <c r="B31" i="18"/>
  <c r="D31" i="18"/>
  <c r="H31" i="18"/>
  <c r="J31" i="18"/>
  <c r="B32" i="18"/>
  <c r="D32" i="18"/>
  <c r="H32" i="18"/>
  <c r="J32" i="18"/>
  <c r="B33" i="18"/>
  <c r="D33" i="18"/>
  <c r="H33" i="18"/>
  <c r="J33" i="18"/>
  <c r="B34" i="18"/>
  <c r="D34" i="18"/>
  <c r="H34" i="18"/>
  <c r="J34" i="18"/>
  <c r="B35" i="18"/>
  <c r="D35" i="18"/>
  <c r="H35" i="18"/>
  <c r="J35" i="18"/>
  <c r="B36" i="18"/>
  <c r="D36" i="18"/>
  <c r="H36" i="18"/>
  <c r="J36" i="18"/>
  <c r="B37" i="18"/>
  <c r="D37" i="18"/>
  <c r="H37" i="18"/>
  <c r="J37" i="18"/>
  <c r="B38" i="18"/>
  <c r="D38" i="18"/>
  <c r="H38" i="18"/>
  <c r="J38" i="18"/>
  <c r="B39" i="18"/>
  <c r="D39" i="18"/>
  <c r="H39" i="18"/>
  <c r="J39" i="18"/>
  <c r="B40" i="18"/>
  <c r="D40" i="18"/>
  <c r="H40" i="18"/>
  <c r="J40" i="18"/>
  <c r="B41" i="18"/>
  <c r="D41" i="18"/>
  <c r="H41" i="18"/>
  <c r="J41" i="18"/>
  <c r="B42" i="18"/>
  <c r="D42" i="18"/>
  <c r="H42" i="18"/>
  <c r="J42" i="18"/>
  <c r="B43" i="18"/>
  <c r="D43" i="18"/>
  <c r="H43" i="18"/>
  <c r="J43" i="18"/>
  <c r="B44" i="18"/>
  <c r="D44" i="18"/>
  <c r="H44" i="18"/>
  <c r="J44" i="18"/>
  <c r="B45" i="18"/>
  <c r="D45" i="18"/>
  <c r="H45" i="18"/>
  <c r="J45" i="18"/>
  <c r="B46" i="18"/>
  <c r="D46" i="18"/>
  <c r="H46" i="18"/>
  <c r="J46" i="18"/>
  <c r="B47" i="18"/>
  <c r="D47" i="18"/>
  <c r="H47" i="18"/>
  <c r="J47" i="18"/>
  <c r="B48" i="18"/>
  <c r="D48" i="18"/>
  <c r="H48" i="18"/>
  <c r="J48" i="18"/>
  <c r="B49" i="18"/>
  <c r="D49" i="18"/>
  <c r="H49" i="18"/>
  <c r="J49" i="18"/>
  <c r="B50" i="18"/>
  <c r="D50" i="18"/>
  <c r="H50" i="18"/>
  <c r="J50" i="18"/>
  <c r="B51" i="18"/>
  <c r="D51" i="18"/>
  <c r="H51" i="18"/>
  <c r="J51" i="18"/>
  <c r="B52" i="18"/>
  <c r="D52" i="18"/>
  <c r="H52" i="18"/>
  <c r="J52" i="18"/>
  <c r="B53" i="18"/>
  <c r="D53" i="18"/>
  <c r="H53" i="18"/>
  <c r="J53" i="18"/>
  <c r="B54" i="18"/>
  <c r="D54" i="18"/>
  <c r="H54" i="18"/>
  <c r="J54" i="18"/>
  <c r="B55" i="18"/>
  <c r="D55" i="18"/>
  <c r="H55" i="18"/>
  <c r="J55" i="18"/>
  <c r="B56" i="18"/>
  <c r="D56" i="18"/>
  <c r="H56" i="18"/>
  <c r="J56" i="18"/>
  <c r="B57" i="18"/>
  <c r="D57" i="18"/>
  <c r="H57" i="18"/>
  <c r="J57" i="18"/>
  <c r="B58" i="18"/>
  <c r="D58" i="18"/>
  <c r="H58" i="18"/>
  <c r="J58" i="18"/>
  <c r="B59" i="18"/>
  <c r="D59" i="18"/>
  <c r="H59" i="18"/>
  <c r="J59" i="18"/>
  <c r="B60" i="18"/>
  <c r="D60" i="18"/>
  <c r="H60" i="18"/>
  <c r="J60" i="18"/>
  <c r="B61" i="18"/>
  <c r="D61" i="18"/>
  <c r="H61" i="18"/>
  <c r="J61" i="18"/>
  <c r="B62" i="18"/>
  <c r="D62" i="18"/>
  <c r="H62" i="18"/>
  <c r="J62" i="18"/>
  <c r="B63" i="18"/>
  <c r="D63" i="18"/>
  <c r="H63" i="18"/>
  <c r="J63" i="18"/>
  <c r="B64" i="18"/>
  <c r="D64" i="18"/>
  <c r="H64" i="18"/>
  <c r="J64" i="18"/>
  <c r="B65" i="18"/>
  <c r="D65" i="18"/>
  <c r="H65" i="18"/>
  <c r="J65" i="18"/>
  <c r="B66" i="18"/>
  <c r="D66" i="18"/>
  <c r="H66" i="18"/>
  <c r="J66" i="18"/>
  <c r="B67" i="18"/>
  <c r="D67" i="18"/>
  <c r="H67" i="18"/>
  <c r="J67" i="18"/>
  <c r="B68" i="18"/>
  <c r="D68" i="18"/>
  <c r="H68" i="18"/>
  <c r="J68" i="18"/>
  <c r="B69" i="18"/>
  <c r="D69" i="18"/>
  <c r="H69" i="18"/>
  <c r="J69" i="18"/>
  <c r="B70" i="18"/>
  <c r="D70" i="18"/>
  <c r="H70" i="18"/>
  <c r="J70" i="18"/>
  <c r="B71" i="18"/>
  <c r="D71" i="18"/>
  <c r="H71" i="18"/>
  <c r="J71" i="18"/>
  <c r="B72" i="18"/>
  <c r="D72" i="18"/>
  <c r="H72" i="18"/>
  <c r="J72" i="18"/>
  <c r="B73" i="18"/>
  <c r="D73" i="18"/>
  <c r="H73" i="18"/>
  <c r="J73" i="18"/>
  <c r="B74" i="18"/>
  <c r="D74" i="18"/>
  <c r="H74" i="18"/>
  <c r="J74" i="18"/>
  <c r="B75" i="18"/>
  <c r="D75" i="18"/>
  <c r="H75" i="18"/>
  <c r="J75" i="18"/>
  <c r="B76" i="18"/>
  <c r="D76" i="18"/>
  <c r="H76" i="18"/>
  <c r="J76" i="18"/>
  <c r="B77" i="18"/>
  <c r="D77" i="18"/>
  <c r="H77" i="18"/>
  <c r="J77" i="18"/>
  <c r="B78" i="18"/>
  <c r="D78" i="18"/>
  <c r="H78" i="18"/>
  <c r="J78" i="18"/>
  <c r="B79" i="18"/>
  <c r="D79" i="18"/>
  <c r="H79" i="18"/>
  <c r="J79" i="18"/>
  <c r="B80" i="18"/>
  <c r="D80" i="18"/>
  <c r="H80" i="18"/>
  <c r="J80" i="18"/>
  <c r="B81" i="18"/>
  <c r="D81" i="18"/>
  <c r="H81" i="18"/>
  <c r="J81" i="18"/>
  <c r="B82" i="18"/>
  <c r="D82" i="18"/>
  <c r="H82" i="18"/>
  <c r="J82" i="18"/>
  <c r="B83" i="18"/>
  <c r="D83" i="18"/>
  <c r="H83" i="18"/>
  <c r="J83" i="18"/>
  <c r="B84" i="18"/>
  <c r="D84" i="18"/>
  <c r="H84" i="18"/>
  <c r="J84" i="18"/>
  <c r="B85" i="18"/>
  <c r="D85" i="18"/>
  <c r="H85" i="18"/>
  <c r="J85" i="18"/>
  <c r="B86" i="18"/>
  <c r="D86" i="18"/>
  <c r="H86" i="18"/>
  <c r="J86" i="18"/>
  <c r="B87" i="18"/>
  <c r="D87" i="18"/>
  <c r="H87" i="18"/>
  <c r="J87" i="18"/>
  <c r="B88" i="18"/>
  <c r="D88" i="18"/>
  <c r="H88" i="18"/>
  <c r="J88" i="18"/>
  <c r="B89" i="18"/>
  <c r="D89" i="18"/>
  <c r="H89" i="18"/>
  <c r="J89" i="18"/>
  <c r="B90" i="18"/>
  <c r="D90" i="18"/>
  <c r="H90" i="18"/>
  <c r="J90" i="18"/>
  <c r="B91" i="18"/>
  <c r="D91" i="18"/>
  <c r="H91" i="18"/>
  <c r="J91" i="18"/>
  <c r="B92" i="18"/>
  <c r="D92" i="18"/>
  <c r="H92" i="18"/>
  <c r="J92" i="18"/>
  <c r="B93" i="18"/>
  <c r="D93" i="18"/>
  <c r="H93" i="18"/>
  <c r="J93" i="18"/>
  <c r="B94" i="18"/>
  <c r="D94" i="18"/>
  <c r="H94" i="18"/>
  <c r="J94" i="18"/>
  <c r="B95" i="18"/>
  <c r="D95" i="18"/>
  <c r="H95" i="18"/>
  <c r="J95" i="18"/>
  <c r="B96" i="18"/>
  <c r="D96" i="18"/>
  <c r="H96" i="18"/>
  <c r="J96" i="18"/>
  <c r="B97" i="18"/>
  <c r="D97" i="18"/>
  <c r="H97" i="18"/>
  <c r="J97" i="18"/>
  <c r="B98" i="18"/>
  <c r="D98" i="18"/>
  <c r="H98" i="18"/>
  <c r="J98" i="18"/>
  <c r="B99" i="18"/>
  <c r="D99" i="18"/>
  <c r="H99" i="18"/>
  <c r="J99" i="18"/>
  <c r="B100" i="18"/>
  <c r="D100" i="18"/>
  <c r="H100" i="18"/>
  <c r="J100" i="18"/>
  <c r="B101" i="18"/>
  <c r="D101" i="18"/>
  <c r="H101" i="18"/>
  <c r="J101" i="18"/>
  <c r="B102" i="18"/>
  <c r="D102" i="18"/>
  <c r="H102" i="18"/>
  <c r="J102" i="18"/>
  <c r="B103" i="18"/>
  <c r="D103" i="18"/>
  <c r="H103" i="18"/>
  <c r="J103" i="18"/>
  <c r="B104" i="18"/>
  <c r="D104" i="18"/>
  <c r="H104" i="18"/>
  <c r="J104" i="18"/>
  <c r="B105" i="18"/>
  <c r="D105" i="18"/>
  <c r="H105" i="18"/>
  <c r="J105" i="18"/>
  <c r="B106" i="18"/>
  <c r="D106" i="18"/>
  <c r="H106" i="18"/>
  <c r="J106" i="18"/>
  <c r="B107" i="18"/>
  <c r="D107" i="18"/>
  <c r="H107" i="18"/>
  <c r="J107" i="18"/>
  <c r="B108" i="18"/>
  <c r="D108" i="18"/>
  <c r="H108" i="18"/>
  <c r="J108" i="18"/>
  <c r="B109" i="18"/>
  <c r="D109" i="18"/>
  <c r="H109" i="18"/>
  <c r="J109" i="18"/>
  <c r="B110" i="18"/>
  <c r="D110" i="18"/>
  <c r="H110" i="18"/>
  <c r="J110" i="18"/>
  <c r="B111" i="18"/>
  <c r="D111" i="18"/>
  <c r="H111" i="18"/>
  <c r="J111" i="18"/>
  <c r="B112" i="18"/>
  <c r="D112" i="18"/>
  <c r="H112" i="18"/>
  <c r="J112" i="18"/>
  <c r="B113" i="18"/>
  <c r="D113" i="18"/>
  <c r="H113" i="18"/>
  <c r="J113" i="18"/>
  <c r="B114" i="18"/>
  <c r="D114" i="18"/>
  <c r="H114" i="18"/>
  <c r="J114" i="18"/>
  <c r="B115" i="18"/>
  <c r="D115" i="18"/>
  <c r="H115" i="18"/>
  <c r="J115" i="18"/>
  <c r="B116" i="18"/>
  <c r="D116" i="18"/>
  <c r="H116" i="18"/>
  <c r="J116" i="18"/>
  <c r="B117" i="18"/>
  <c r="D117" i="18"/>
  <c r="H117" i="18"/>
  <c r="J117" i="18"/>
  <c r="B118" i="18"/>
  <c r="D118" i="18"/>
  <c r="H118" i="18"/>
  <c r="J118" i="18"/>
  <c r="B119" i="18"/>
  <c r="D119" i="18"/>
  <c r="H119" i="18"/>
  <c r="J119" i="18"/>
  <c r="B120" i="18"/>
  <c r="D120" i="18"/>
  <c r="H120" i="18"/>
  <c r="J120" i="18"/>
  <c r="B121" i="18"/>
  <c r="D121" i="18"/>
  <c r="H121" i="18"/>
  <c r="J121" i="18"/>
  <c r="B122" i="18"/>
  <c r="D122" i="18"/>
  <c r="H122" i="18"/>
  <c r="J122" i="18"/>
  <c r="B123" i="18"/>
  <c r="D123" i="18"/>
  <c r="H123" i="18"/>
  <c r="J123" i="18"/>
  <c r="B124" i="18"/>
  <c r="D124" i="18"/>
  <c r="H124" i="18"/>
  <c r="J124" i="18"/>
  <c r="B125" i="18"/>
  <c r="D125" i="18"/>
  <c r="H125" i="18"/>
  <c r="J125" i="18"/>
  <c r="B126" i="18"/>
  <c r="D126" i="18"/>
  <c r="H126" i="18"/>
  <c r="J126" i="18"/>
  <c r="B127" i="18"/>
  <c r="D127" i="18"/>
  <c r="H127" i="18"/>
  <c r="J127" i="18"/>
  <c r="B128" i="18"/>
  <c r="D128" i="18"/>
  <c r="H128" i="18"/>
  <c r="J128" i="18"/>
  <c r="B129" i="18"/>
  <c r="D129" i="18"/>
  <c r="H129" i="18"/>
  <c r="J129" i="18"/>
  <c r="B130" i="18"/>
  <c r="D130" i="18"/>
  <c r="H130" i="18"/>
  <c r="J130" i="18"/>
  <c r="B131" i="18"/>
  <c r="D131" i="18"/>
  <c r="H131" i="18"/>
  <c r="J131" i="18"/>
  <c r="B132" i="18"/>
  <c r="D132" i="18"/>
  <c r="H132" i="18"/>
  <c r="J132" i="18"/>
  <c r="B133" i="18"/>
  <c r="D133" i="18"/>
  <c r="H133" i="18"/>
  <c r="J133" i="18"/>
  <c r="B134" i="18"/>
  <c r="D134" i="18"/>
  <c r="H134" i="18"/>
  <c r="J134" i="18"/>
  <c r="B135" i="18"/>
  <c r="D135" i="18"/>
  <c r="H135" i="18"/>
  <c r="J135" i="18"/>
  <c r="B136" i="18"/>
  <c r="D136" i="18"/>
  <c r="H136" i="18"/>
  <c r="J136" i="18"/>
  <c r="B137" i="18"/>
  <c r="D137" i="18"/>
  <c r="H137" i="18"/>
  <c r="J137" i="18"/>
  <c r="B138" i="18"/>
  <c r="D138" i="18"/>
  <c r="H138" i="18"/>
  <c r="J138" i="18"/>
  <c r="B139" i="18"/>
  <c r="D139" i="18"/>
  <c r="H139" i="18"/>
  <c r="J139" i="18"/>
  <c r="B140" i="18"/>
  <c r="D140" i="18"/>
  <c r="H140" i="18"/>
  <c r="J140" i="18"/>
  <c r="B141" i="18"/>
  <c r="D141" i="18"/>
  <c r="H141" i="18"/>
  <c r="J141" i="18"/>
  <c r="B142" i="18"/>
  <c r="D142" i="18"/>
  <c r="H142" i="18"/>
  <c r="J142" i="18"/>
  <c r="B143" i="18"/>
  <c r="D143" i="18"/>
  <c r="H143" i="18"/>
  <c r="J143" i="18"/>
  <c r="B144" i="18"/>
  <c r="D144" i="18"/>
  <c r="H144" i="18"/>
  <c r="J144" i="18"/>
  <c r="B145" i="18"/>
  <c r="D145" i="18"/>
  <c r="H145" i="18"/>
  <c r="J145" i="18"/>
  <c r="B146" i="18"/>
  <c r="D146" i="18"/>
  <c r="H146" i="18"/>
  <c r="J146" i="18"/>
  <c r="B147" i="18"/>
  <c r="D147" i="18"/>
  <c r="H147" i="18"/>
  <c r="J147" i="18"/>
  <c r="B148" i="18"/>
  <c r="D148" i="18"/>
  <c r="H148" i="18"/>
  <c r="J148" i="18"/>
  <c r="B149" i="18"/>
  <c r="D149" i="18"/>
  <c r="H149" i="18"/>
  <c r="J149" i="18"/>
  <c r="B150" i="18"/>
  <c r="D150" i="18"/>
  <c r="H150" i="18"/>
  <c r="J150" i="18"/>
  <c r="B151" i="18"/>
  <c r="D151" i="18"/>
  <c r="H151" i="18"/>
  <c r="J151" i="18"/>
  <c r="A4" i="17"/>
  <c r="C4" i="17" s="1"/>
  <c r="B4" i="17"/>
  <c r="H4" i="17"/>
  <c r="I4" i="17"/>
  <c r="J4" i="17"/>
  <c r="H5" i="17"/>
  <c r="I5" i="17"/>
  <c r="A4" i="16"/>
  <c r="B4" i="16" s="1"/>
  <c r="H4" i="16"/>
  <c r="I4" i="16"/>
  <c r="J4" i="16"/>
  <c r="I5" i="16"/>
  <c r="B2" i="14"/>
  <c r="E2" i="14"/>
  <c r="B3" i="14"/>
  <c r="E3" i="14"/>
  <c r="B4" i="14"/>
  <c r="E4" i="14"/>
  <c r="B6" i="14"/>
  <c r="E6" i="14"/>
  <c r="B10" i="14"/>
  <c r="E10" i="14"/>
  <c r="B11" i="14"/>
  <c r="E11" i="14"/>
  <c r="B12" i="14"/>
  <c r="E12" i="14"/>
  <c r="B14" i="14"/>
  <c r="E14" i="14"/>
  <c r="B18" i="14"/>
  <c r="E18" i="14"/>
  <c r="B19" i="14"/>
  <c r="E19" i="14"/>
  <c r="B20" i="14"/>
  <c r="E20" i="14"/>
  <c r="B22" i="14"/>
  <c r="E22" i="14"/>
  <c r="B26" i="14"/>
  <c r="E26" i="14"/>
  <c r="B27" i="14"/>
  <c r="E27" i="14"/>
  <c r="B28" i="14"/>
  <c r="E28" i="14"/>
  <c r="B30" i="14"/>
  <c r="E30" i="14"/>
  <c r="N94" i="13"/>
  <c r="L13" i="20" s="1"/>
  <c r="D157" i="13"/>
  <c r="D159" i="13" s="1"/>
  <c r="N161" i="13"/>
  <c r="N162" i="13"/>
  <c r="N163" i="13"/>
  <c r="K166" i="13"/>
  <c r="G3" i="24" s="1"/>
  <c r="O166" i="13"/>
  <c r="O168" i="13"/>
  <c r="O170" i="13"/>
  <c r="O172" i="13"/>
  <c r="C273" i="22" l="1"/>
  <c r="E273" i="22" s="1"/>
  <c r="D273" i="22"/>
  <c r="F273" i="22" s="1"/>
  <c r="G271" i="22"/>
  <c r="I271" i="22" s="1"/>
  <c r="C271" i="22"/>
  <c r="E271" i="22" s="1"/>
  <c r="D271" i="22"/>
  <c r="F271" i="22" s="1"/>
  <c r="H268" i="22"/>
  <c r="J268" i="22" s="1"/>
  <c r="C268" i="22"/>
  <c r="E268" i="22" s="1"/>
  <c r="D268" i="22"/>
  <c r="F268" i="22" s="1"/>
  <c r="G263" i="22"/>
  <c r="I263" i="22" s="1"/>
  <c r="C263" i="22"/>
  <c r="E263" i="22" s="1"/>
  <c r="D263" i="22"/>
  <c r="F263" i="22" s="1"/>
  <c r="G239" i="22"/>
  <c r="I239" i="22" s="1"/>
  <c r="C239" i="22"/>
  <c r="E239" i="22" s="1"/>
  <c r="D239" i="22"/>
  <c r="F239" i="22" s="1"/>
  <c r="G339" i="22"/>
  <c r="I339" i="22" s="1"/>
  <c r="C339" i="22"/>
  <c r="E339" i="22" s="1"/>
  <c r="D339" i="22"/>
  <c r="F339" i="22" s="1"/>
  <c r="G331" i="22"/>
  <c r="I331" i="22" s="1"/>
  <c r="C331" i="22"/>
  <c r="E331" i="22" s="1"/>
  <c r="D331" i="22"/>
  <c r="F331" i="22" s="1"/>
  <c r="G323" i="22"/>
  <c r="I323" i="22" s="1"/>
  <c r="C323" i="22"/>
  <c r="E323" i="22" s="1"/>
  <c r="D323" i="22"/>
  <c r="F323" i="22" s="1"/>
  <c r="G315" i="22"/>
  <c r="I315" i="22" s="1"/>
  <c r="C315" i="22"/>
  <c r="E315" i="22" s="1"/>
  <c r="D315" i="22"/>
  <c r="F315" i="22" s="1"/>
  <c r="H308" i="22"/>
  <c r="J308" i="22" s="1"/>
  <c r="C308" i="22"/>
  <c r="E308" i="22" s="1"/>
  <c r="D308" i="22"/>
  <c r="F308" i="22" s="1"/>
  <c r="H292" i="22"/>
  <c r="J292" i="22" s="1"/>
  <c r="C292" i="22"/>
  <c r="E292" i="22" s="1"/>
  <c r="D292" i="22"/>
  <c r="F292" i="22" s="1"/>
  <c r="C137" i="22"/>
  <c r="E137" i="22" s="1"/>
  <c r="G137" i="22"/>
  <c r="I137" i="22" s="1"/>
  <c r="C104" i="22"/>
  <c r="E104" i="22" s="1"/>
  <c r="H104" i="22"/>
  <c r="J104" i="22" s="1"/>
  <c r="D104" i="22"/>
  <c r="C22" i="22"/>
  <c r="D22" i="22"/>
  <c r="G22" i="22"/>
  <c r="H22" i="22"/>
  <c r="H296" i="22"/>
  <c r="J296" i="22" s="1"/>
  <c r="C296" i="22"/>
  <c r="E296" i="22" s="1"/>
  <c r="D296" i="22"/>
  <c r="F296" i="22" s="1"/>
  <c r="G287" i="22"/>
  <c r="I287" i="22" s="1"/>
  <c r="C287" i="22"/>
  <c r="E287" i="22" s="1"/>
  <c r="D287" i="22"/>
  <c r="F287" i="22" s="1"/>
  <c r="H265" i="22"/>
  <c r="J265" i="22" s="1"/>
  <c r="C265" i="22"/>
  <c r="E265" i="22" s="1"/>
  <c r="D265" i="22"/>
  <c r="F265" i="22" s="1"/>
  <c r="H249" i="22"/>
  <c r="J249" i="22" s="1"/>
  <c r="C249" i="22"/>
  <c r="E249" i="22" s="1"/>
  <c r="D249" i="22"/>
  <c r="F249" i="22" s="1"/>
  <c r="H236" i="22"/>
  <c r="J236" i="22" s="1"/>
  <c r="C236" i="22"/>
  <c r="E236" i="22" s="1"/>
  <c r="D236" i="22"/>
  <c r="F236" i="22" s="1"/>
  <c r="H233" i="22"/>
  <c r="J233" i="22" s="1"/>
  <c r="C233" i="22"/>
  <c r="E233" i="22" s="1"/>
  <c r="D233" i="22"/>
  <c r="F233" i="22" s="1"/>
  <c r="G231" i="22"/>
  <c r="I231" i="22" s="1"/>
  <c r="C231" i="22"/>
  <c r="E231" i="22" s="1"/>
  <c r="D231" i="22"/>
  <c r="F231" i="22" s="1"/>
  <c r="G218" i="22"/>
  <c r="I218" i="22" s="1"/>
  <c r="C218" i="22"/>
  <c r="E218" i="22" s="1"/>
  <c r="D218" i="22"/>
  <c r="F218" i="22" s="1"/>
  <c r="H304" i="22"/>
  <c r="J304" i="22" s="1"/>
  <c r="C304" i="22"/>
  <c r="E304" i="22" s="1"/>
  <c r="D304" i="22"/>
  <c r="F304" i="22" s="1"/>
  <c r="H288" i="22"/>
  <c r="J288" i="22" s="1"/>
  <c r="C288" i="22"/>
  <c r="E288" i="22" s="1"/>
  <c r="D288" i="22"/>
  <c r="F288" i="22" s="1"/>
  <c r="G285" i="22"/>
  <c r="I285" i="22" s="1"/>
  <c r="C285" i="22"/>
  <c r="E285" i="22" s="1"/>
  <c r="D285" i="22"/>
  <c r="F285" i="22" s="1"/>
  <c r="G283" i="22"/>
  <c r="I283" i="22" s="1"/>
  <c r="C283" i="22"/>
  <c r="E283" i="22" s="1"/>
  <c r="D283" i="22"/>
  <c r="F283" i="22" s="1"/>
  <c r="H280" i="22"/>
  <c r="J280" i="22" s="1"/>
  <c r="C280" i="22"/>
  <c r="E280" i="22" s="1"/>
  <c r="D280" i="22"/>
  <c r="F280" i="22" s="1"/>
  <c r="C277" i="22"/>
  <c r="E277" i="22" s="1"/>
  <c r="D277" i="22"/>
  <c r="F277" i="22" s="1"/>
  <c r="G275" i="22"/>
  <c r="I275" i="22" s="1"/>
  <c r="C275" i="22"/>
  <c r="E275" i="22" s="1"/>
  <c r="D275" i="22"/>
  <c r="F275" i="22" s="1"/>
  <c r="H272" i="22"/>
  <c r="J272" i="22" s="1"/>
  <c r="C272" i="22"/>
  <c r="E272" i="22" s="1"/>
  <c r="D272" i="22"/>
  <c r="F272" i="22" s="1"/>
  <c r="C269" i="22"/>
  <c r="E269" i="22" s="1"/>
  <c r="D269" i="22"/>
  <c r="F269" i="22" s="1"/>
  <c r="G267" i="22"/>
  <c r="I267" i="22" s="1"/>
  <c r="C267" i="22"/>
  <c r="E267" i="22" s="1"/>
  <c r="D267" i="22"/>
  <c r="F267" i="22" s="1"/>
  <c r="H264" i="22"/>
  <c r="J264" i="22" s="1"/>
  <c r="C264" i="22"/>
  <c r="E264" i="22" s="1"/>
  <c r="D264" i="22"/>
  <c r="F264" i="22" s="1"/>
  <c r="H261" i="22"/>
  <c r="J261" i="22" s="1"/>
  <c r="C261" i="22"/>
  <c r="E261" i="22" s="1"/>
  <c r="D261" i="22"/>
  <c r="F261" i="22" s="1"/>
  <c r="G259" i="22"/>
  <c r="I259" i="22" s="1"/>
  <c r="C259" i="22"/>
  <c r="E259" i="22" s="1"/>
  <c r="D259" i="22"/>
  <c r="F259" i="22" s="1"/>
  <c r="H256" i="22"/>
  <c r="J256" i="22" s="1"/>
  <c r="C256" i="22"/>
  <c r="E256" i="22" s="1"/>
  <c r="D256" i="22"/>
  <c r="F256" i="22" s="1"/>
  <c r="H253" i="22"/>
  <c r="J253" i="22" s="1"/>
  <c r="C253" i="22"/>
  <c r="E253" i="22" s="1"/>
  <c r="D253" i="22"/>
  <c r="F253" i="22" s="1"/>
  <c r="G251" i="22"/>
  <c r="I251" i="22" s="1"/>
  <c r="C251" i="22"/>
  <c r="E251" i="22" s="1"/>
  <c r="D251" i="22"/>
  <c r="F251" i="22" s="1"/>
  <c r="H248" i="22"/>
  <c r="J248" i="22" s="1"/>
  <c r="C248" i="22"/>
  <c r="E248" i="22" s="1"/>
  <c r="D248" i="22"/>
  <c r="F248" i="22" s="1"/>
  <c r="H245" i="22"/>
  <c r="J245" i="22" s="1"/>
  <c r="C245" i="22"/>
  <c r="E245" i="22" s="1"/>
  <c r="D245" i="22"/>
  <c r="F245" i="22" s="1"/>
  <c r="G243" i="22"/>
  <c r="I243" i="22" s="1"/>
  <c r="C243" i="22"/>
  <c r="E243" i="22" s="1"/>
  <c r="D243" i="22"/>
  <c r="F243" i="22" s="1"/>
  <c r="H240" i="22"/>
  <c r="J240" i="22" s="1"/>
  <c r="C240" i="22"/>
  <c r="E240" i="22" s="1"/>
  <c r="D240" i="22"/>
  <c r="F240" i="22" s="1"/>
  <c r="H237" i="22"/>
  <c r="J237" i="22" s="1"/>
  <c r="C237" i="22"/>
  <c r="E237" i="22" s="1"/>
  <c r="D237" i="22"/>
  <c r="F237" i="22" s="1"/>
  <c r="G235" i="22"/>
  <c r="I235" i="22" s="1"/>
  <c r="C235" i="22"/>
  <c r="E235" i="22" s="1"/>
  <c r="D235" i="22"/>
  <c r="F235" i="22" s="1"/>
  <c r="H232" i="22"/>
  <c r="J232" i="22" s="1"/>
  <c r="C232" i="22"/>
  <c r="E232" i="22" s="1"/>
  <c r="D232" i="22"/>
  <c r="F232" i="22" s="1"/>
  <c r="H229" i="22"/>
  <c r="J229" i="22" s="1"/>
  <c r="C229" i="22"/>
  <c r="E229" i="22" s="1"/>
  <c r="D229" i="22"/>
  <c r="F229" i="22" s="1"/>
  <c r="C219" i="22"/>
  <c r="E219" i="22" s="1"/>
  <c r="D219" i="22"/>
  <c r="F219" i="22" s="1"/>
  <c r="H217" i="22"/>
  <c r="J217" i="22" s="1"/>
  <c r="C217" i="22"/>
  <c r="E217" i="22" s="1"/>
  <c r="D217" i="22"/>
  <c r="F217" i="22" s="1"/>
  <c r="D172" i="22"/>
  <c r="F172" i="22" s="1"/>
  <c r="G172" i="22"/>
  <c r="I172" i="22" s="1"/>
  <c r="C172" i="22"/>
  <c r="E172" i="22" s="1"/>
  <c r="D156" i="22"/>
  <c r="F156" i="22" s="1"/>
  <c r="G156" i="22"/>
  <c r="I156" i="22" s="1"/>
  <c r="C156" i="22"/>
  <c r="E156" i="22" s="1"/>
  <c r="D140" i="22"/>
  <c r="F140" i="22" s="1"/>
  <c r="G140" i="22"/>
  <c r="I140" i="22" s="1"/>
  <c r="C140" i="22"/>
  <c r="E140" i="22" s="1"/>
  <c r="C30" i="22"/>
  <c r="D30" i="22"/>
  <c r="G30" i="22"/>
  <c r="H30" i="22"/>
  <c r="G347" i="22"/>
  <c r="I347" i="22" s="1"/>
  <c r="D347" i="22"/>
  <c r="F347" i="22" s="1"/>
  <c r="H284" i="22"/>
  <c r="J284" i="22" s="1"/>
  <c r="C284" i="22"/>
  <c r="E284" i="22" s="1"/>
  <c r="D284" i="22"/>
  <c r="F284" i="22" s="1"/>
  <c r="C281" i="22"/>
  <c r="E281" i="22" s="1"/>
  <c r="D281" i="22"/>
  <c r="F281" i="22" s="1"/>
  <c r="G279" i="22"/>
  <c r="I279" i="22" s="1"/>
  <c r="C279" i="22"/>
  <c r="E279" i="22" s="1"/>
  <c r="D279" i="22"/>
  <c r="F279" i="22" s="1"/>
  <c r="H276" i="22"/>
  <c r="J276" i="22" s="1"/>
  <c r="C276" i="22"/>
  <c r="E276" i="22" s="1"/>
  <c r="D276" i="22"/>
  <c r="F276" i="22" s="1"/>
  <c r="H260" i="22"/>
  <c r="J260" i="22" s="1"/>
  <c r="C260" i="22"/>
  <c r="E260" i="22" s="1"/>
  <c r="D260" i="22"/>
  <c r="F260" i="22" s="1"/>
  <c r="H257" i="22"/>
  <c r="J257" i="22" s="1"/>
  <c r="C257" i="22"/>
  <c r="E257" i="22" s="1"/>
  <c r="D257" i="22"/>
  <c r="F257" i="22" s="1"/>
  <c r="G255" i="22"/>
  <c r="I255" i="22" s="1"/>
  <c r="C255" i="22"/>
  <c r="E255" i="22" s="1"/>
  <c r="D255" i="22"/>
  <c r="F255" i="22" s="1"/>
  <c r="H252" i="22"/>
  <c r="J252" i="22" s="1"/>
  <c r="C252" i="22"/>
  <c r="E252" i="22" s="1"/>
  <c r="D252" i="22"/>
  <c r="F252" i="22" s="1"/>
  <c r="G247" i="22"/>
  <c r="I247" i="22" s="1"/>
  <c r="C247" i="22"/>
  <c r="E247" i="22" s="1"/>
  <c r="D247" i="22"/>
  <c r="F247" i="22" s="1"/>
  <c r="H244" i="22"/>
  <c r="J244" i="22" s="1"/>
  <c r="C244" i="22"/>
  <c r="E244" i="22" s="1"/>
  <c r="D244" i="22"/>
  <c r="F244" i="22" s="1"/>
  <c r="H241" i="22"/>
  <c r="J241" i="22" s="1"/>
  <c r="C241" i="22"/>
  <c r="E241" i="22" s="1"/>
  <c r="D241" i="22"/>
  <c r="F241" i="22" s="1"/>
  <c r="H228" i="22"/>
  <c r="J228" i="22" s="1"/>
  <c r="C228" i="22"/>
  <c r="E228" i="22" s="1"/>
  <c r="D228" i="22"/>
  <c r="F228" i="22" s="1"/>
  <c r="H216" i="22"/>
  <c r="J216" i="22" s="1"/>
  <c r="C216" i="22"/>
  <c r="E216" i="22" s="1"/>
  <c r="D216" i="22"/>
  <c r="F216" i="22" s="1"/>
  <c r="C82" i="22"/>
  <c r="E82" i="22" s="1"/>
  <c r="G82" i="22"/>
  <c r="C14" i="22"/>
  <c r="D14" i="22"/>
  <c r="G14" i="22"/>
  <c r="H14" i="22"/>
  <c r="C347" i="22"/>
  <c r="E347" i="22" s="1"/>
  <c r="G343" i="22"/>
  <c r="I343" i="22" s="1"/>
  <c r="D343" i="22"/>
  <c r="F343" i="22" s="1"/>
  <c r="G335" i="22"/>
  <c r="I335" i="22" s="1"/>
  <c r="C335" i="22"/>
  <c r="E335" i="22" s="1"/>
  <c r="D335" i="22"/>
  <c r="F335" i="22" s="1"/>
  <c r="G327" i="22"/>
  <c r="I327" i="22" s="1"/>
  <c r="C327" i="22"/>
  <c r="E327" i="22" s="1"/>
  <c r="D327" i="22"/>
  <c r="F327" i="22" s="1"/>
  <c r="G319" i="22"/>
  <c r="I319" i="22" s="1"/>
  <c r="C319" i="22"/>
  <c r="E319" i="22" s="1"/>
  <c r="D319" i="22"/>
  <c r="F319" i="22" s="1"/>
  <c r="G311" i="22"/>
  <c r="I311" i="22" s="1"/>
  <c r="C311" i="22"/>
  <c r="E311" i="22" s="1"/>
  <c r="D311" i="22"/>
  <c r="F311" i="22" s="1"/>
  <c r="H300" i="22"/>
  <c r="J300" i="22" s="1"/>
  <c r="C300" i="22"/>
  <c r="E300" i="22" s="1"/>
  <c r="D300" i="22"/>
  <c r="F300" i="22" s="1"/>
  <c r="C203" i="22"/>
  <c r="E203" i="22" s="1"/>
  <c r="D203" i="22"/>
  <c r="F203" i="22" s="1"/>
  <c r="C127" i="22"/>
  <c r="E127" i="22" s="1"/>
  <c r="D127" i="22"/>
  <c r="F127" i="22" s="1"/>
  <c r="G127" i="22"/>
  <c r="I127" i="22" s="1"/>
  <c r="H127" i="22"/>
  <c r="J127" i="22" s="1"/>
  <c r="C119" i="22"/>
  <c r="E119" i="22" s="1"/>
  <c r="D119" i="22"/>
  <c r="F119" i="22" s="1"/>
  <c r="G119" i="22"/>
  <c r="I119" i="22" s="1"/>
  <c r="H119" i="22"/>
  <c r="C80" i="22"/>
  <c r="E80" i="22" s="1"/>
  <c r="D80" i="22"/>
  <c r="G80" i="22"/>
  <c r="I80" i="22" s="1"/>
  <c r="H80" i="22"/>
  <c r="C222" i="22"/>
  <c r="E222" i="22" s="1"/>
  <c r="D221" i="22"/>
  <c r="F221" i="22" s="1"/>
  <c r="D220" i="22"/>
  <c r="F220" i="22" s="1"/>
  <c r="C214" i="22"/>
  <c r="E214" i="22" s="1"/>
  <c r="C213" i="22"/>
  <c r="E213" i="22" s="1"/>
  <c r="C212" i="22"/>
  <c r="E212" i="22" s="1"/>
  <c r="C210" i="22"/>
  <c r="E210" i="22" s="1"/>
  <c r="C209" i="22"/>
  <c r="E209" i="22" s="1"/>
  <c r="C208" i="22"/>
  <c r="E208" i="22" s="1"/>
  <c r="D206" i="22"/>
  <c r="F206" i="22" s="1"/>
  <c r="D205" i="22"/>
  <c r="F205" i="22" s="1"/>
  <c r="D204" i="22"/>
  <c r="F204" i="22" s="1"/>
  <c r="D202" i="22"/>
  <c r="F202" i="22" s="1"/>
  <c r="D201" i="22"/>
  <c r="F201" i="22" s="1"/>
  <c r="D198" i="22"/>
  <c r="F198" i="22" s="1"/>
  <c r="D197" i="22"/>
  <c r="F197" i="22" s="1"/>
  <c r="D195" i="22"/>
  <c r="F195" i="22" s="1"/>
  <c r="D194" i="22"/>
  <c r="F194" i="22" s="1"/>
  <c r="D193" i="22"/>
  <c r="F193" i="22" s="1"/>
  <c r="D182" i="22"/>
  <c r="F182" i="22" s="1"/>
  <c r="G166" i="22"/>
  <c r="I166" i="22" s="1"/>
  <c r="G150" i="22"/>
  <c r="I150" i="22" s="1"/>
  <c r="H136" i="22"/>
  <c r="J136" i="22" s="1"/>
  <c r="D135" i="22"/>
  <c r="F135" i="22" s="1"/>
  <c r="D122" i="22"/>
  <c r="F122" i="22" s="1"/>
  <c r="C108" i="22"/>
  <c r="E108" i="22" s="1"/>
  <c r="H108" i="22"/>
  <c r="J108" i="22" s="1"/>
  <c r="C77" i="22"/>
  <c r="E77" i="22" s="1"/>
  <c r="D77" i="22"/>
  <c r="G77" i="22"/>
  <c r="I77" i="22" s="1"/>
  <c r="C38" i="22"/>
  <c r="D38" i="22"/>
  <c r="G38" i="22"/>
  <c r="B7" i="25"/>
  <c r="B6" i="25"/>
  <c r="B5" i="25"/>
  <c r="C194" i="22"/>
  <c r="E194" i="22" s="1"/>
  <c r="C193" i="22"/>
  <c r="E193" i="22" s="1"/>
  <c r="D180" i="22"/>
  <c r="F180" i="22" s="1"/>
  <c r="G180" i="22"/>
  <c r="I180" i="22" s="1"/>
  <c r="H174" i="22"/>
  <c r="J174" i="22" s="1"/>
  <c r="C166" i="22"/>
  <c r="E166" i="22" s="1"/>
  <c r="D164" i="22"/>
  <c r="F164" i="22" s="1"/>
  <c r="G164" i="22"/>
  <c r="I164" i="22" s="1"/>
  <c r="H158" i="22"/>
  <c r="J158" i="22" s="1"/>
  <c r="C150" i="22"/>
  <c r="E150" i="22" s="1"/>
  <c r="D148" i="22"/>
  <c r="F148" i="22" s="1"/>
  <c r="G148" i="22"/>
  <c r="I148" i="22" s="1"/>
  <c r="H142" i="22"/>
  <c r="J142" i="22" s="1"/>
  <c r="C135" i="22"/>
  <c r="E135" i="22" s="1"/>
  <c r="D124" i="22"/>
  <c r="F124" i="22" s="1"/>
  <c r="D116" i="22"/>
  <c r="C112" i="22"/>
  <c r="E112" i="22" s="1"/>
  <c r="H112" i="22"/>
  <c r="J112" i="22" s="1"/>
  <c r="D69" i="22"/>
  <c r="H69" i="22"/>
  <c r="J69" i="22" s="1"/>
  <c r="D67" i="22"/>
  <c r="H67" i="22"/>
  <c r="J67" i="22" s="1"/>
  <c r="D136" i="22"/>
  <c r="F136" i="22" s="1"/>
  <c r="G136" i="22"/>
  <c r="I136" i="22" s="1"/>
  <c r="C129" i="22"/>
  <c r="E129" i="22" s="1"/>
  <c r="G129" i="22"/>
  <c r="I129" i="22" s="1"/>
  <c r="D121" i="22"/>
  <c r="C121" i="22"/>
  <c r="E121" i="22" s="1"/>
  <c r="G121" i="22"/>
  <c r="I121" i="22" s="1"/>
  <c r="C100" i="22"/>
  <c r="E100" i="22" s="1"/>
  <c r="H100" i="22"/>
  <c r="J100" i="22" s="1"/>
  <c r="E97" i="22"/>
  <c r="E96" i="22"/>
  <c r="E95" i="22"/>
  <c r="E93" i="22"/>
  <c r="E92" i="22"/>
  <c r="E91" i="22"/>
  <c r="E89" i="22"/>
  <c r="E88" i="22"/>
  <c r="E87" i="22"/>
  <c r="E85" i="22"/>
  <c r="F84" i="22"/>
  <c r="F83" i="22"/>
  <c r="I81" i="22"/>
  <c r="J79" i="22"/>
  <c r="J178" i="22"/>
  <c r="F176" i="22"/>
  <c r="J170" i="22"/>
  <c r="F168" i="22"/>
  <c r="J162" i="22"/>
  <c r="F160" i="22"/>
  <c r="J154" i="22"/>
  <c r="F152" i="22"/>
  <c r="J146" i="22"/>
  <c r="F144" i="22"/>
  <c r="J138" i="22"/>
  <c r="E133" i="22"/>
  <c r="F132" i="22"/>
  <c r="F125" i="22"/>
  <c r="J123" i="22"/>
  <c r="F117" i="22"/>
  <c r="J115" i="22"/>
  <c r="F113" i="22"/>
  <c r="J111" i="22"/>
  <c r="F109" i="22"/>
  <c r="J107" i="22"/>
  <c r="F105" i="22"/>
  <c r="J103" i="22"/>
  <c r="F101" i="22"/>
  <c r="J99" i="22"/>
  <c r="F97" i="22"/>
  <c r="J95" i="22"/>
  <c r="F93" i="22"/>
  <c r="J91" i="22"/>
  <c r="D81" i="22"/>
  <c r="G76" i="22"/>
  <c r="I76" i="22" s="1"/>
  <c r="H75" i="22"/>
  <c r="J75" i="22" s="1"/>
  <c r="E73" i="22"/>
  <c r="G68" i="22"/>
  <c r="I68" i="22" s="1"/>
  <c r="C66" i="22"/>
  <c r="E66" i="22" s="1"/>
  <c r="C62" i="22"/>
  <c r="G60" i="22"/>
  <c r="C54" i="22"/>
  <c r="G52" i="22"/>
  <c r="H46" i="22"/>
  <c r="G42" i="22"/>
  <c r="H41" i="22"/>
  <c r="D37" i="22"/>
  <c r="D29" i="22"/>
  <c r="D21" i="22"/>
  <c r="D13" i="22"/>
  <c r="I123" i="22"/>
  <c r="I115" i="22"/>
  <c r="I111" i="22"/>
  <c r="I107" i="22"/>
  <c r="E106" i="22"/>
  <c r="I103" i="22"/>
  <c r="E102" i="22"/>
  <c r="I99" i="22"/>
  <c r="E98" i="22"/>
  <c r="H96" i="22"/>
  <c r="J96" i="22" s="1"/>
  <c r="I95" i="22"/>
  <c r="E94" i="22"/>
  <c r="H92" i="22"/>
  <c r="J92" i="22" s="1"/>
  <c r="I91" i="22"/>
  <c r="E90" i="22"/>
  <c r="H88" i="22"/>
  <c r="J88" i="22" s="1"/>
  <c r="I87" i="22"/>
  <c r="E86" i="22"/>
  <c r="J84" i="22"/>
  <c r="E81" i="22"/>
  <c r="G70" i="22"/>
  <c r="G58" i="22"/>
  <c r="G50" i="22"/>
  <c r="I50" i="22" s="1"/>
  <c r="G46" i="22"/>
  <c r="G41" i="22"/>
  <c r="H33" i="22"/>
  <c r="A5" i="16"/>
  <c r="H5" i="16" s="1"/>
  <c r="Q166" i="20"/>
  <c r="Q142" i="20"/>
  <c r="Q118" i="20"/>
  <c r="Q86" i="20"/>
  <c r="Q62" i="20"/>
  <c r="Q38" i="20"/>
  <c r="D4" i="16"/>
  <c r="Q150" i="20"/>
  <c r="Q126" i="20"/>
  <c r="Q102" i="20"/>
  <c r="Q78" i="20"/>
  <c r="Q46" i="20"/>
  <c r="C4" i="16"/>
  <c r="A5" i="17"/>
  <c r="D4" i="17"/>
  <c r="C4" i="18"/>
  <c r="A5" i="19"/>
  <c r="H5" i="19" s="1"/>
  <c r="D4" i="19"/>
  <c r="Q158" i="20"/>
  <c r="Q134" i="20"/>
  <c r="Q110" i="20"/>
  <c r="Q94" i="20"/>
  <c r="Q70" i="20"/>
  <c r="Q54" i="20"/>
  <c r="J12" i="20"/>
  <c r="E40" i="22"/>
  <c r="F121" i="22"/>
  <c r="J119" i="22"/>
  <c r="I117" i="22"/>
  <c r="F116" i="22"/>
  <c r="F115" i="22"/>
  <c r="I113" i="22"/>
  <c r="F112" i="22"/>
  <c r="F111" i="22"/>
  <c r="I109" i="22"/>
  <c r="F108" i="22"/>
  <c r="F107" i="22"/>
  <c r="I105" i="22"/>
  <c r="F104" i="22"/>
  <c r="F103" i="22"/>
  <c r="I101" i="22"/>
  <c r="F100" i="22"/>
  <c r="F99" i="22"/>
  <c r="I97" i="22"/>
  <c r="F96" i="22"/>
  <c r="F95" i="22"/>
  <c r="I93" i="22"/>
  <c r="F92" i="22"/>
  <c r="F91" i="22"/>
  <c r="I89" i="22"/>
  <c r="F88" i="22"/>
  <c r="F87" i="22"/>
  <c r="I85" i="22"/>
  <c r="I84" i="22"/>
  <c r="J83" i="22"/>
  <c r="F89" i="22"/>
  <c r="J87" i="22"/>
  <c r="F85" i="22"/>
  <c r="E84" i="22"/>
  <c r="I82" i="22"/>
  <c r="F81" i="22"/>
  <c r="F80" i="22"/>
  <c r="F79" i="22"/>
  <c r="J76" i="22"/>
  <c r="E74" i="22"/>
  <c r="F73" i="22"/>
  <c r="F72" i="22"/>
  <c r="F71" i="22"/>
  <c r="F70" i="22"/>
  <c r="J68" i="22"/>
  <c r="I66" i="22"/>
  <c r="F65" i="22"/>
  <c r="F64" i="22"/>
  <c r="I62" i="22"/>
  <c r="J60" i="22"/>
  <c r="F58" i="22"/>
  <c r="F56" i="22"/>
  <c r="I54" i="22"/>
  <c r="J52" i="22"/>
  <c r="F50" i="22"/>
  <c r="F48" i="22"/>
  <c r="E47" i="22"/>
  <c r="F46" i="22"/>
  <c r="E45" i="22"/>
  <c r="J42" i="22"/>
  <c r="E64" i="22"/>
  <c r="E62" i="22"/>
  <c r="I60" i="22"/>
  <c r="E59" i="22"/>
  <c r="F57" i="22"/>
  <c r="E56" i="22"/>
  <c r="E54" i="22"/>
  <c r="I52" i="22"/>
  <c r="E51" i="22"/>
  <c r="F49" i="22"/>
  <c r="J41" i="22"/>
  <c r="E60" i="22"/>
  <c r="E58" i="22"/>
  <c r="I56" i="22"/>
  <c r="E55" i="22"/>
  <c r="F53" i="22"/>
  <c r="E52" i="22"/>
  <c r="F41" i="22"/>
  <c r="E38" i="22"/>
  <c r="E37" i="22"/>
  <c r="I34" i="22"/>
  <c r="J33" i="22"/>
  <c r="E30" i="22"/>
  <c r="I38" i="22"/>
  <c r="J37" i="22"/>
  <c r="E34" i="22"/>
  <c r="E29" i="22"/>
  <c r="I26" i="22"/>
  <c r="J25" i="22"/>
  <c r="E23" i="22"/>
  <c r="E22" i="22"/>
  <c r="E21" i="22"/>
  <c r="I18" i="22"/>
  <c r="J17" i="22"/>
  <c r="E15" i="22"/>
  <c r="E14" i="22"/>
  <c r="E13" i="22"/>
  <c r="I10" i="22"/>
  <c r="F9" i="22"/>
  <c r="E33" i="22"/>
  <c r="I30" i="22"/>
  <c r="J29" i="22"/>
  <c r="E27" i="22"/>
  <c r="E26" i="22"/>
  <c r="E25" i="22"/>
  <c r="I22" i="22"/>
  <c r="J21" i="22"/>
  <c r="E19" i="22"/>
  <c r="E18" i="22"/>
  <c r="E17" i="22"/>
  <c r="I14" i="22"/>
  <c r="J13" i="22"/>
  <c r="E11" i="22"/>
  <c r="J80" i="22"/>
  <c r="F77" i="22"/>
  <c r="F76" i="22"/>
  <c r="F75" i="22"/>
  <c r="J73" i="22"/>
  <c r="J72" i="22"/>
  <c r="I70" i="22"/>
  <c r="F69" i="22"/>
  <c r="F68" i="22"/>
  <c r="F67" i="22"/>
  <c r="F66" i="22"/>
  <c r="J64" i="22"/>
  <c r="F62" i="22"/>
  <c r="F60" i="22"/>
  <c r="I58" i="22"/>
  <c r="J56" i="22"/>
  <c r="F54" i="22"/>
  <c r="F52" i="22"/>
  <c r="J48" i="22"/>
  <c r="I46" i="22"/>
  <c r="I45" i="22"/>
  <c r="F42" i="22"/>
  <c r="H4" i="22"/>
  <c r="J4" i="22" s="1"/>
  <c r="I30" i="24" s="1"/>
  <c r="I44" i="24" s="1"/>
  <c r="H3" i="22"/>
  <c r="J3" i="22" s="1"/>
  <c r="I27" i="24" s="1"/>
  <c r="I41" i="24" s="1"/>
  <c r="E2" i="22"/>
  <c r="I5" i="18"/>
  <c r="C5" i="18"/>
  <c r="I41" i="22"/>
  <c r="A13" i="20"/>
  <c r="B13" i="20" s="1"/>
  <c r="C12" i="20"/>
  <c r="D12" i="20" s="1"/>
  <c r="F3" i="20"/>
  <c r="G23" i="25"/>
  <c r="G21" i="25"/>
  <c r="E20" i="25"/>
  <c r="G17" i="25"/>
  <c r="E16" i="25"/>
  <c r="G13" i="25"/>
  <c r="G22" i="25"/>
  <c r="E21" i="25"/>
  <c r="G18" i="25"/>
  <c r="E17" i="25"/>
  <c r="G14" i="25"/>
  <c r="E13" i="25"/>
  <c r="E22" i="25"/>
  <c r="G19" i="25"/>
  <c r="E18" i="25"/>
  <c r="G15" i="25"/>
  <c r="E14" i="25"/>
  <c r="G20" i="25"/>
  <c r="E19" i="25"/>
  <c r="G16" i="25"/>
  <c r="E15" i="25"/>
  <c r="Q168" i="20"/>
  <c r="Q160" i="20"/>
  <c r="Q152" i="20"/>
  <c r="Q144" i="20"/>
  <c r="Q136" i="20"/>
  <c r="Q128" i="20"/>
  <c r="Q120" i="20"/>
  <c r="Q112" i="20"/>
  <c r="Q104" i="20"/>
  <c r="Q96" i="20"/>
  <c r="Q88" i="20"/>
  <c r="Q80" i="20"/>
  <c r="Q72" i="20"/>
  <c r="Q64" i="20"/>
  <c r="Q56" i="20"/>
  <c r="Q48" i="20"/>
  <c r="Q40" i="20"/>
  <c r="Q32" i="20"/>
  <c r="Q24" i="20"/>
  <c r="Q16" i="20"/>
  <c r="F170" i="20"/>
  <c r="F166" i="20"/>
  <c r="F162" i="20"/>
  <c r="F158" i="20"/>
  <c r="F154" i="20"/>
  <c r="F150" i="20"/>
  <c r="F146" i="20"/>
  <c r="F142" i="20"/>
  <c r="F138" i="20"/>
  <c r="F134" i="20"/>
  <c r="F130" i="20"/>
  <c r="F126" i="20"/>
  <c r="F122" i="20"/>
  <c r="F118" i="20"/>
  <c r="F114" i="20"/>
  <c r="F110" i="20"/>
  <c r="F106" i="20"/>
  <c r="F102" i="20"/>
  <c r="F98" i="20"/>
  <c r="F94" i="20"/>
  <c r="F90" i="20"/>
  <c r="F86" i="20"/>
  <c r="F82" i="20"/>
  <c r="F78" i="20"/>
  <c r="F74" i="20"/>
  <c r="F70" i="20"/>
  <c r="F66" i="20"/>
  <c r="F62" i="20"/>
  <c r="F58" i="20"/>
  <c r="F54" i="20"/>
  <c r="F50" i="20"/>
  <c r="F46" i="20"/>
  <c r="F42" i="20"/>
  <c r="F38" i="20"/>
  <c r="F34" i="20"/>
  <c r="F30" i="20"/>
  <c r="F26" i="20"/>
  <c r="F22" i="20"/>
  <c r="F18" i="20"/>
  <c r="F14" i="20"/>
  <c r="J168" i="20"/>
  <c r="J164" i="20"/>
  <c r="J160" i="20"/>
  <c r="J156" i="20"/>
  <c r="J152" i="20"/>
  <c r="J148" i="20"/>
  <c r="J144" i="20"/>
  <c r="J140" i="20"/>
  <c r="J136" i="20"/>
  <c r="J132" i="20"/>
  <c r="J128" i="20"/>
  <c r="J124" i="20"/>
  <c r="J120" i="20"/>
  <c r="J116" i="20"/>
  <c r="J112" i="20"/>
  <c r="J108" i="20"/>
  <c r="J104" i="20"/>
  <c r="J100" i="20"/>
  <c r="J96" i="20"/>
  <c r="J92" i="20"/>
  <c r="Q30" i="20"/>
  <c r="Q22" i="20"/>
  <c r="Q14" i="20"/>
  <c r="F169" i="20"/>
  <c r="F165" i="20"/>
  <c r="F161" i="20"/>
  <c r="F157" i="20"/>
  <c r="F153" i="20"/>
  <c r="F149" i="20"/>
  <c r="F145" i="20"/>
  <c r="F141" i="20"/>
  <c r="F137" i="20"/>
  <c r="F133" i="20"/>
  <c r="F129" i="20"/>
  <c r="F125" i="20"/>
  <c r="F121" i="20"/>
  <c r="F117" i="20"/>
  <c r="F113" i="20"/>
  <c r="F109" i="20"/>
  <c r="F105" i="20"/>
  <c r="F101" i="20"/>
  <c r="F97" i="20"/>
  <c r="F93" i="20"/>
  <c r="F89" i="20"/>
  <c r="F85" i="20"/>
  <c r="F81" i="20"/>
  <c r="F77" i="20"/>
  <c r="F73" i="20"/>
  <c r="F69" i="20"/>
  <c r="F65" i="20"/>
  <c r="F61" i="20"/>
  <c r="F57" i="20"/>
  <c r="F53" i="20"/>
  <c r="F49" i="20"/>
  <c r="F45" i="20"/>
  <c r="F41" i="20"/>
  <c r="F37" i="20"/>
  <c r="F33" i="20"/>
  <c r="F29" i="20"/>
  <c r="F25" i="20"/>
  <c r="F21" i="20"/>
  <c r="F17" i="20"/>
  <c r="F13" i="20"/>
  <c r="J167" i="20"/>
  <c r="J163" i="20"/>
  <c r="J159" i="20"/>
  <c r="J155" i="20"/>
  <c r="J151" i="20"/>
  <c r="J147" i="20"/>
  <c r="J143" i="20"/>
  <c r="J139" i="20"/>
  <c r="J135" i="20"/>
  <c r="J131" i="20"/>
  <c r="J127" i="20"/>
  <c r="J123" i="20"/>
  <c r="J119" i="20"/>
  <c r="J115" i="20"/>
  <c r="J111" i="20"/>
  <c r="J107" i="20"/>
  <c r="J103" i="20"/>
  <c r="J99" i="20"/>
  <c r="J95" i="20"/>
  <c r="J91" i="20"/>
  <c r="J87" i="20"/>
  <c r="Q3" i="20"/>
  <c r="M7" i="20" s="1"/>
  <c r="P7" i="20" s="1"/>
  <c r="Q164" i="20"/>
  <c r="Q156" i="20"/>
  <c r="Q148" i="20"/>
  <c r="Q140" i="20"/>
  <c r="Q132" i="20"/>
  <c r="Q124" i="20"/>
  <c r="Q116" i="20"/>
  <c r="Q108" i="20"/>
  <c r="Q100" i="20"/>
  <c r="Q92" i="20"/>
  <c r="Q84" i="20"/>
  <c r="Q76" i="20"/>
  <c r="Q68" i="20"/>
  <c r="Q60" i="20"/>
  <c r="Q52" i="20"/>
  <c r="Q44" i="20"/>
  <c r="Q36" i="20"/>
  <c r="Q28" i="20"/>
  <c r="Q20" i="20"/>
  <c r="F168" i="20"/>
  <c r="F164" i="20"/>
  <c r="F160" i="20"/>
  <c r="F156" i="20"/>
  <c r="F152" i="20"/>
  <c r="F148" i="20"/>
  <c r="F144" i="20"/>
  <c r="F140" i="20"/>
  <c r="F136" i="20"/>
  <c r="F132" i="20"/>
  <c r="F128" i="20"/>
  <c r="F124" i="20"/>
  <c r="F120" i="20"/>
  <c r="F116" i="20"/>
  <c r="F112" i="20"/>
  <c r="F108" i="20"/>
  <c r="F104" i="20"/>
  <c r="F100" i="20"/>
  <c r="F96" i="20"/>
  <c r="F92" i="20"/>
  <c r="F88" i="20"/>
  <c r="F84" i="20"/>
  <c r="F80" i="20"/>
  <c r="F76" i="20"/>
  <c r="F72" i="20"/>
  <c r="F68" i="20"/>
  <c r="F64" i="20"/>
  <c r="F60" i="20"/>
  <c r="F56" i="20"/>
  <c r="F52" i="20"/>
  <c r="F48" i="20"/>
  <c r="F44" i="20"/>
  <c r="F40" i="20"/>
  <c r="F36" i="20"/>
  <c r="F32" i="20"/>
  <c r="F28" i="20"/>
  <c r="F24" i="20"/>
  <c r="F20" i="20"/>
  <c r="F16" i="20"/>
  <c r="J170" i="20"/>
  <c r="J166" i="20"/>
  <c r="J162" i="20"/>
  <c r="J158" i="20"/>
  <c r="J154" i="20"/>
  <c r="J150" i="20"/>
  <c r="J146" i="20"/>
  <c r="J142" i="20"/>
  <c r="J138" i="20"/>
  <c r="J134" i="20"/>
  <c r="J130" i="20"/>
  <c r="J126" i="20"/>
  <c r="J122" i="20"/>
  <c r="J118" i="20"/>
  <c r="J114" i="20"/>
  <c r="Q170" i="20"/>
  <c r="Q162" i="20"/>
  <c r="Q154" i="20"/>
  <c r="Q146" i="20"/>
  <c r="Q138" i="20"/>
  <c r="Q130" i="20"/>
  <c r="Q122" i="20"/>
  <c r="Q114" i="20"/>
  <c r="Q106" i="20"/>
  <c r="Q98" i="20"/>
  <c r="Q90" i="20"/>
  <c r="Q82" i="20"/>
  <c r="Q74" i="20"/>
  <c r="Q66" i="20"/>
  <c r="Q58" i="20"/>
  <c r="Q50" i="20"/>
  <c r="Q42" i="20"/>
  <c r="Q34" i="20"/>
  <c r="Q26" i="20"/>
  <c r="Q18" i="20"/>
  <c r="F167" i="20"/>
  <c r="F163" i="20"/>
  <c r="F159" i="20"/>
  <c r="F155" i="20"/>
  <c r="F151" i="20"/>
  <c r="F147" i="20"/>
  <c r="F143" i="20"/>
  <c r="F139" i="20"/>
  <c r="F135" i="20"/>
  <c r="F131" i="20"/>
  <c r="F127" i="20"/>
  <c r="F123" i="20"/>
  <c r="F119" i="20"/>
  <c r="F115" i="20"/>
  <c r="F111" i="20"/>
  <c r="F107" i="20"/>
  <c r="F103" i="20"/>
  <c r="F99" i="20"/>
  <c r="F95" i="20"/>
  <c r="F91" i="20"/>
  <c r="F87" i="20"/>
  <c r="F83" i="20"/>
  <c r="F79" i="20"/>
  <c r="F75" i="20"/>
  <c r="F71" i="20"/>
  <c r="F67" i="20"/>
  <c r="F63" i="20"/>
  <c r="F59" i="20"/>
  <c r="F55" i="20"/>
  <c r="F51" i="20"/>
  <c r="F47" i="20"/>
  <c r="F43" i="20"/>
  <c r="F39" i="20"/>
  <c r="F35" i="20"/>
  <c r="F31" i="20"/>
  <c r="F27" i="20"/>
  <c r="F23" i="20"/>
  <c r="F19" i="20"/>
  <c r="F15" i="20"/>
  <c r="J169" i="20"/>
  <c r="J165" i="20"/>
  <c r="J161" i="20"/>
  <c r="J157" i="20"/>
  <c r="J153" i="20"/>
  <c r="J149" i="20"/>
  <c r="J145" i="20"/>
  <c r="J141" i="20"/>
  <c r="J137" i="20"/>
  <c r="J133" i="20"/>
  <c r="J129" i="20"/>
  <c r="J125" i="20"/>
  <c r="J121" i="20"/>
  <c r="J117" i="20"/>
  <c r="J113" i="20"/>
  <c r="J109" i="20"/>
  <c r="J105" i="20"/>
  <c r="J101" i="20"/>
  <c r="J97" i="20"/>
  <c r="J93" i="20"/>
  <c r="J89" i="20"/>
  <c r="J85" i="20"/>
  <c r="J81" i="20"/>
  <c r="J77" i="20"/>
  <c r="J73" i="20"/>
  <c r="J69" i="20"/>
  <c r="J65" i="20"/>
  <c r="J61" i="20"/>
  <c r="J57" i="20"/>
  <c r="J53" i="20"/>
  <c r="J49" i="20"/>
  <c r="J45" i="20"/>
  <c r="J41" i="20"/>
  <c r="J37" i="20"/>
  <c r="J33" i="20"/>
  <c r="J29" i="20"/>
  <c r="J25" i="20"/>
  <c r="J21" i="20"/>
  <c r="J17" i="20"/>
  <c r="J13" i="20"/>
  <c r="E50" i="22"/>
  <c r="I48" i="22"/>
  <c r="I47" i="22"/>
  <c r="E46" i="22"/>
  <c r="F45" i="22"/>
  <c r="E43" i="22"/>
  <c r="E42" i="22"/>
  <c r="F38" i="22"/>
  <c r="F37" i="22"/>
  <c r="J34" i="22"/>
  <c r="E32" i="22"/>
  <c r="F30" i="22"/>
  <c r="F29" i="22"/>
  <c r="J26" i="22"/>
  <c r="E24" i="22"/>
  <c r="F22" i="22"/>
  <c r="F21" i="22"/>
  <c r="J18" i="22"/>
  <c r="E16" i="22"/>
  <c r="F14" i="22"/>
  <c r="F13" i="22"/>
  <c r="J10" i="22"/>
  <c r="J88" i="20"/>
  <c r="J84" i="20"/>
  <c r="J80" i="20"/>
  <c r="J76" i="20"/>
  <c r="J72" i="20"/>
  <c r="J68" i="20"/>
  <c r="J64" i="20"/>
  <c r="J60" i="20"/>
  <c r="J56" i="20"/>
  <c r="J52" i="20"/>
  <c r="J48" i="20"/>
  <c r="J44" i="20"/>
  <c r="J40" i="20"/>
  <c r="J36" i="20"/>
  <c r="J32" i="20"/>
  <c r="J28" i="20"/>
  <c r="J24" i="20"/>
  <c r="J20" i="20"/>
  <c r="J16" i="20"/>
  <c r="J83" i="20"/>
  <c r="J79" i="20"/>
  <c r="J75" i="20"/>
  <c r="J71" i="20"/>
  <c r="J67" i="20"/>
  <c r="J63" i="20"/>
  <c r="J59" i="20"/>
  <c r="J55" i="20"/>
  <c r="J51" i="20"/>
  <c r="J47" i="20"/>
  <c r="J43" i="20"/>
  <c r="J39" i="20"/>
  <c r="J35" i="20"/>
  <c r="J31" i="20"/>
  <c r="J27" i="20"/>
  <c r="J23" i="20"/>
  <c r="J19" i="20"/>
  <c r="J15" i="20"/>
  <c r="E48" i="22"/>
  <c r="J46" i="22"/>
  <c r="J45" i="22"/>
  <c r="I42" i="22"/>
  <c r="E41" i="22"/>
  <c r="J38" i="22"/>
  <c r="E36" i="22"/>
  <c r="F34" i="22"/>
  <c r="F33" i="22"/>
  <c r="J30" i="22"/>
  <c r="E28" i="22"/>
  <c r="F26" i="22"/>
  <c r="F25" i="22"/>
  <c r="J22" i="22"/>
  <c r="E20" i="22"/>
  <c r="F18" i="22"/>
  <c r="F17" i="22"/>
  <c r="J14" i="22"/>
  <c r="E5" i="23"/>
  <c r="J30" i="24" s="1"/>
  <c r="J44" i="24" s="1"/>
  <c r="J110" i="20"/>
  <c r="J106" i="20"/>
  <c r="J102" i="20"/>
  <c r="J98" i="20"/>
  <c r="J94" i="20"/>
  <c r="J90" i="20"/>
  <c r="J86" i="20"/>
  <c r="J82" i="20"/>
  <c r="J78" i="20"/>
  <c r="J74" i="20"/>
  <c r="J70" i="20"/>
  <c r="J66" i="20"/>
  <c r="J62" i="20"/>
  <c r="J58" i="20"/>
  <c r="J54" i="20"/>
  <c r="J50" i="20"/>
  <c r="J46" i="20"/>
  <c r="J42" i="20"/>
  <c r="J38" i="20"/>
  <c r="J34" i="20"/>
  <c r="J30" i="20"/>
  <c r="J26" i="20"/>
  <c r="J22" i="20"/>
  <c r="J18" i="20"/>
  <c r="J14" i="20"/>
  <c r="D161" i="13"/>
  <c r="I166" i="13" s="1"/>
  <c r="E3" i="24" s="1"/>
  <c r="B13" i="14"/>
  <c r="B15" i="14" s="1"/>
  <c r="B29" i="14"/>
  <c r="B32" i="14" s="1"/>
  <c r="B21" i="14"/>
  <c r="E13" i="14"/>
  <c r="E16" i="14" s="1"/>
  <c r="E5" i="14"/>
  <c r="E7" i="14" s="1"/>
  <c r="E21" i="14"/>
  <c r="E29" i="14"/>
  <c r="E32" i="14" s="1"/>
  <c r="A36" i="24"/>
  <c r="A42" i="24"/>
  <c r="A37" i="24"/>
  <c r="A45" i="24"/>
  <c r="A43" i="24"/>
  <c r="A39" i="24"/>
  <c r="E5" i="18"/>
  <c r="F5" i="18" s="1"/>
  <c r="E4" i="18"/>
  <c r="G4" i="18" s="1"/>
  <c r="B5" i="14"/>
  <c r="B8" i="14" s="1"/>
  <c r="E31" i="13" s="1"/>
  <c r="C24" i="24" s="1"/>
  <c r="C38" i="24" s="1"/>
  <c r="B8" i="25"/>
  <c r="B4" i="25"/>
  <c r="D5" i="23"/>
  <c r="B5" i="23"/>
  <c r="G308" i="22"/>
  <c r="I308" i="22" s="1"/>
  <c r="H301" i="22"/>
  <c r="J301" i="22" s="1"/>
  <c r="G300" i="22"/>
  <c r="I300" i="22" s="1"/>
  <c r="H293" i="22"/>
  <c r="J293" i="22" s="1"/>
  <c r="G292" i="22"/>
  <c r="I292" i="22" s="1"/>
  <c r="H277" i="22"/>
  <c r="J277" i="22" s="1"/>
  <c r="G277" i="22"/>
  <c r="I277" i="22" s="1"/>
  <c r="H269" i="22"/>
  <c r="J269" i="22" s="1"/>
  <c r="G269" i="22"/>
  <c r="I269" i="22" s="1"/>
  <c r="H371" i="22"/>
  <c r="J371" i="22" s="1"/>
  <c r="H367" i="22"/>
  <c r="J367" i="22" s="1"/>
  <c r="H363" i="22"/>
  <c r="J363" i="22" s="1"/>
  <c r="H359" i="22"/>
  <c r="J359" i="22" s="1"/>
  <c r="H355" i="22"/>
  <c r="J355" i="22" s="1"/>
  <c r="H351" i="22"/>
  <c r="J351" i="22" s="1"/>
  <c r="H347" i="22"/>
  <c r="J347" i="22" s="1"/>
  <c r="H343" i="22"/>
  <c r="J343" i="22" s="1"/>
  <c r="H339" i="22"/>
  <c r="J339" i="22" s="1"/>
  <c r="H335" i="22"/>
  <c r="J335" i="22" s="1"/>
  <c r="H331" i="22"/>
  <c r="J331" i="22" s="1"/>
  <c r="H327" i="22"/>
  <c r="J327" i="22" s="1"/>
  <c r="H323" i="22"/>
  <c r="J323" i="22" s="1"/>
  <c r="H319" i="22"/>
  <c r="J319" i="22" s="1"/>
  <c r="H315" i="22"/>
  <c r="J315" i="22" s="1"/>
  <c r="H311" i="22"/>
  <c r="J311" i="22" s="1"/>
  <c r="H305" i="22"/>
  <c r="J305" i="22" s="1"/>
  <c r="G304" i="22"/>
  <c r="I304" i="22" s="1"/>
  <c r="H297" i="22"/>
  <c r="J297" i="22" s="1"/>
  <c r="G296" i="22"/>
  <c r="I296" i="22" s="1"/>
  <c r="H289" i="22"/>
  <c r="J289" i="22" s="1"/>
  <c r="G288" i="22"/>
  <c r="I288" i="22" s="1"/>
  <c r="H285" i="22"/>
  <c r="J285" i="22" s="1"/>
  <c r="H281" i="22"/>
  <c r="J281" i="22" s="1"/>
  <c r="G281" i="22"/>
  <c r="I281" i="22" s="1"/>
  <c r="H273" i="22"/>
  <c r="J273" i="22" s="1"/>
  <c r="G273" i="22"/>
  <c r="I273" i="22" s="1"/>
  <c r="G265" i="22"/>
  <c r="I265" i="22" s="1"/>
  <c r="G261" i="22"/>
  <c r="I261" i="22" s="1"/>
  <c r="G257" i="22"/>
  <c r="I257" i="22" s="1"/>
  <c r="G253" i="22"/>
  <c r="I253" i="22" s="1"/>
  <c r="G249" i="22"/>
  <c r="I249" i="22" s="1"/>
  <c r="G245" i="22"/>
  <c r="I245" i="22" s="1"/>
  <c r="G241" i="22"/>
  <c r="I241" i="22" s="1"/>
  <c r="G237" i="22"/>
  <c r="I237" i="22" s="1"/>
  <c r="G233" i="22"/>
  <c r="I233" i="22" s="1"/>
  <c r="G229" i="22"/>
  <c r="I229" i="22" s="1"/>
  <c r="H210" i="22"/>
  <c r="J210" i="22" s="1"/>
  <c r="H202" i="22"/>
  <c r="J202" i="22" s="1"/>
  <c r="G200" i="22"/>
  <c r="I200" i="22" s="1"/>
  <c r="H200" i="22"/>
  <c r="J200" i="22" s="1"/>
  <c r="G185" i="22"/>
  <c r="I185" i="22" s="1"/>
  <c r="C185" i="22"/>
  <c r="E185" i="22" s="1"/>
  <c r="H184" i="22"/>
  <c r="J184" i="22" s="1"/>
  <c r="G181" i="22"/>
  <c r="I181" i="22" s="1"/>
  <c r="C181" i="22"/>
  <c r="E181" i="22" s="1"/>
  <c r="H180" i="22"/>
  <c r="J180" i="22" s="1"/>
  <c r="G177" i="22"/>
  <c r="I177" i="22" s="1"/>
  <c r="C177" i="22"/>
  <c r="E177" i="22" s="1"/>
  <c r="H176" i="22"/>
  <c r="J176" i="22" s="1"/>
  <c r="G173" i="22"/>
  <c r="I173" i="22" s="1"/>
  <c r="C173" i="22"/>
  <c r="E173" i="22" s="1"/>
  <c r="H172" i="22"/>
  <c r="J172" i="22" s="1"/>
  <c r="G169" i="22"/>
  <c r="I169" i="22" s="1"/>
  <c r="C169" i="22"/>
  <c r="E169" i="22" s="1"/>
  <c r="H168" i="22"/>
  <c r="J168" i="22" s="1"/>
  <c r="G165" i="22"/>
  <c r="I165" i="22" s="1"/>
  <c r="C165" i="22"/>
  <c r="E165" i="22" s="1"/>
  <c r="H164" i="22"/>
  <c r="J164" i="22" s="1"/>
  <c r="G161" i="22"/>
  <c r="I161" i="22" s="1"/>
  <c r="C161" i="22"/>
  <c r="E161" i="22" s="1"/>
  <c r="H160" i="22"/>
  <c r="J160" i="22" s="1"/>
  <c r="G157" i="22"/>
  <c r="I157" i="22" s="1"/>
  <c r="C157" i="22"/>
  <c r="E157" i="22" s="1"/>
  <c r="H156" i="22"/>
  <c r="J156" i="22" s="1"/>
  <c r="G153" i="22"/>
  <c r="I153" i="22" s="1"/>
  <c r="C153" i="22"/>
  <c r="E153" i="22" s="1"/>
  <c r="H152" i="22"/>
  <c r="J152" i="22" s="1"/>
  <c r="G149" i="22"/>
  <c r="I149" i="22" s="1"/>
  <c r="C149" i="22"/>
  <c r="E149" i="22" s="1"/>
  <c r="H148" i="22"/>
  <c r="J148" i="22" s="1"/>
  <c r="G145" i="22"/>
  <c r="I145" i="22" s="1"/>
  <c r="C145" i="22"/>
  <c r="E145" i="22" s="1"/>
  <c r="H144" i="22"/>
  <c r="J144" i="22" s="1"/>
  <c r="G141" i="22"/>
  <c r="I141" i="22" s="1"/>
  <c r="C141" i="22"/>
  <c r="E141" i="22" s="1"/>
  <c r="H140" i="22"/>
  <c r="J140" i="22" s="1"/>
  <c r="C134" i="22"/>
  <c r="E134" i="22" s="1"/>
  <c r="G134" i="22"/>
  <c r="I134" i="22" s="1"/>
  <c r="C130" i="22"/>
  <c r="E130" i="22" s="1"/>
  <c r="G130" i="22"/>
  <c r="I130" i="22" s="1"/>
  <c r="C128" i="22"/>
  <c r="E128" i="22" s="1"/>
  <c r="G128" i="22"/>
  <c r="I128" i="22" s="1"/>
  <c r="C126" i="22"/>
  <c r="E126" i="22" s="1"/>
  <c r="G126" i="22"/>
  <c r="I126" i="22" s="1"/>
  <c r="C120" i="22"/>
  <c r="E120" i="22" s="1"/>
  <c r="G120" i="22"/>
  <c r="I120" i="22" s="1"/>
  <c r="C118" i="22"/>
  <c r="E118" i="22" s="1"/>
  <c r="G118" i="22"/>
  <c r="I118" i="22" s="1"/>
  <c r="C114" i="22"/>
  <c r="E114" i="22" s="1"/>
  <c r="G114" i="22"/>
  <c r="I114" i="22" s="1"/>
  <c r="D114" i="22"/>
  <c r="F114" i="22" s="1"/>
  <c r="H114" i="22"/>
  <c r="J114" i="22" s="1"/>
  <c r="C110" i="22"/>
  <c r="E110" i="22" s="1"/>
  <c r="G110" i="22"/>
  <c r="I110" i="22" s="1"/>
  <c r="D110" i="22"/>
  <c r="F110" i="22" s="1"/>
  <c r="H110" i="22"/>
  <c r="J110" i="22" s="1"/>
  <c r="H196" i="22"/>
  <c r="J196" i="22" s="1"/>
  <c r="H187" i="22"/>
  <c r="J187" i="22" s="1"/>
  <c r="D187" i="22"/>
  <c r="F187" i="22" s="1"/>
  <c r="H183" i="22"/>
  <c r="J183" i="22" s="1"/>
  <c r="D183" i="22"/>
  <c r="F183" i="22" s="1"/>
  <c r="H179" i="22"/>
  <c r="J179" i="22" s="1"/>
  <c r="D179" i="22"/>
  <c r="F179" i="22" s="1"/>
  <c r="H175" i="22"/>
  <c r="J175" i="22" s="1"/>
  <c r="D175" i="22"/>
  <c r="F175" i="22" s="1"/>
  <c r="H171" i="22"/>
  <c r="J171" i="22" s="1"/>
  <c r="D171" i="22"/>
  <c r="F171" i="22" s="1"/>
  <c r="H167" i="22"/>
  <c r="J167" i="22" s="1"/>
  <c r="D167" i="22"/>
  <c r="F167" i="22" s="1"/>
  <c r="H163" i="22"/>
  <c r="J163" i="22" s="1"/>
  <c r="D163" i="22"/>
  <c r="F163" i="22" s="1"/>
  <c r="H159" i="22"/>
  <c r="J159" i="22" s="1"/>
  <c r="D159" i="22"/>
  <c r="F159" i="22" s="1"/>
  <c r="H155" i="22"/>
  <c r="J155" i="22" s="1"/>
  <c r="D155" i="22"/>
  <c r="F155" i="22" s="1"/>
  <c r="H151" i="22"/>
  <c r="J151" i="22" s="1"/>
  <c r="D151" i="22"/>
  <c r="F151" i="22" s="1"/>
  <c r="H147" i="22"/>
  <c r="J147" i="22" s="1"/>
  <c r="D147" i="22"/>
  <c r="F147" i="22" s="1"/>
  <c r="H143" i="22"/>
  <c r="J143" i="22" s="1"/>
  <c r="D143" i="22"/>
  <c r="F143" i="22" s="1"/>
  <c r="H139" i="22"/>
  <c r="J139" i="22" s="1"/>
  <c r="D139" i="22"/>
  <c r="F139" i="22" s="1"/>
  <c r="G187" i="22"/>
  <c r="I187" i="22" s="1"/>
  <c r="B189" i="22" s="1"/>
  <c r="C189" i="22" s="1"/>
  <c r="G183" i="22"/>
  <c r="I183" i="22" s="1"/>
  <c r="G179" i="22"/>
  <c r="I179" i="22" s="1"/>
  <c r="G175" i="22"/>
  <c r="I175" i="22" s="1"/>
  <c r="G171" i="22"/>
  <c r="I171" i="22" s="1"/>
  <c r="G167" i="22"/>
  <c r="I167" i="22" s="1"/>
  <c r="G163" i="22"/>
  <c r="I163" i="22" s="1"/>
  <c r="G159" i="22"/>
  <c r="I159" i="22" s="1"/>
  <c r="G155" i="22"/>
  <c r="I155" i="22" s="1"/>
  <c r="G151" i="22"/>
  <c r="I151" i="22" s="1"/>
  <c r="G147" i="22"/>
  <c r="I147" i="22" s="1"/>
  <c r="G143" i="22"/>
  <c r="I143" i="22" s="1"/>
  <c r="G139" i="22"/>
  <c r="I139" i="22" s="1"/>
  <c r="C124" i="22"/>
  <c r="E124" i="22" s="1"/>
  <c r="G124" i="22"/>
  <c r="I124" i="22" s="1"/>
  <c r="C122" i="22"/>
  <c r="E122" i="22" s="1"/>
  <c r="G122" i="22"/>
  <c r="I122" i="22" s="1"/>
  <c r="C116" i="22"/>
  <c r="E116" i="22" s="1"/>
  <c r="G116" i="22"/>
  <c r="I116" i="22" s="1"/>
  <c r="H185" i="22"/>
  <c r="J185" i="22" s="1"/>
  <c r="H181" i="22"/>
  <c r="J181" i="22" s="1"/>
  <c r="H177" i="22"/>
  <c r="J177" i="22" s="1"/>
  <c r="H173" i="22"/>
  <c r="J173" i="22" s="1"/>
  <c r="H169" i="22"/>
  <c r="J169" i="22" s="1"/>
  <c r="H165" i="22"/>
  <c r="J165" i="22" s="1"/>
  <c r="H161" i="22"/>
  <c r="J161" i="22" s="1"/>
  <c r="H157" i="22"/>
  <c r="J157" i="22" s="1"/>
  <c r="H153" i="22"/>
  <c r="J153" i="22" s="1"/>
  <c r="H149" i="22"/>
  <c r="J149" i="22" s="1"/>
  <c r="H145" i="22"/>
  <c r="J145" i="22" s="1"/>
  <c r="H141" i="22"/>
  <c r="J141" i="22" s="1"/>
  <c r="D137" i="22"/>
  <c r="F137" i="22" s="1"/>
  <c r="H137" i="22"/>
  <c r="J137" i="22" s="1"/>
  <c r="D133" i="22"/>
  <c r="F133" i="22" s="1"/>
  <c r="H133" i="22"/>
  <c r="J133" i="22" s="1"/>
  <c r="D129" i="22"/>
  <c r="F129" i="22" s="1"/>
  <c r="H129" i="22"/>
  <c r="J129" i="22" s="1"/>
  <c r="G112" i="22"/>
  <c r="I112" i="22" s="1"/>
  <c r="G108" i="22"/>
  <c r="I108" i="22" s="1"/>
  <c r="G104" i="22"/>
  <c r="I104" i="22" s="1"/>
  <c r="G100" i="22"/>
  <c r="I100" i="22" s="1"/>
  <c r="G96" i="22"/>
  <c r="I96" i="22" s="1"/>
  <c r="G92" i="22"/>
  <c r="I92" i="22" s="1"/>
  <c r="G88" i="22"/>
  <c r="I88" i="22" s="1"/>
  <c r="H81" i="22"/>
  <c r="J81" i="22" s="1"/>
  <c r="H77" i="22"/>
  <c r="J77" i="22" s="1"/>
  <c r="C71" i="22"/>
  <c r="E71" i="22" s="1"/>
  <c r="G71" i="22"/>
  <c r="I71" i="22" s="1"/>
  <c r="C65" i="22"/>
  <c r="E65" i="22" s="1"/>
  <c r="G65" i="22"/>
  <c r="I65" i="22" s="1"/>
  <c r="H106" i="22"/>
  <c r="J106" i="22" s="1"/>
  <c r="D106" i="22"/>
  <c r="F106" i="22" s="1"/>
  <c r="H102" i="22"/>
  <c r="J102" i="22" s="1"/>
  <c r="D102" i="22"/>
  <c r="F102" i="22" s="1"/>
  <c r="H98" i="22"/>
  <c r="J98" i="22" s="1"/>
  <c r="D98" i="22"/>
  <c r="F98" i="22" s="1"/>
  <c r="H94" i="22"/>
  <c r="J94" i="22" s="1"/>
  <c r="D94" i="22"/>
  <c r="F94" i="22" s="1"/>
  <c r="H90" i="22"/>
  <c r="J90" i="22" s="1"/>
  <c r="D90" i="22"/>
  <c r="F90" i="22" s="1"/>
  <c r="H86" i="22"/>
  <c r="J86" i="22" s="1"/>
  <c r="D86" i="22"/>
  <c r="F86" i="22" s="1"/>
  <c r="H125" i="22"/>
  <c r="J125" i="22" s="1"/>
  <c r="H121" i="22"/>
  <c r="J121" i="22" s="1"/>
  <c r="H117" i="22"/>
  <c r="J117" i="22" s="1"/>
  <c r="H113" i="22"/>
  <c r="J113" i="22" s="1"/>
  <c r="H109" i="22"/>
  <c r="J109" i="22" s="1"/>
  <c r="G106" i="22"/>
  <c r="I106" i="22" s="1"/>
  <c r="H105" i="22"/>
  <c r="J105" i="22" s="1"/>
  <c r="G102" i="22"/>
  <c r="I102" i="22" s="1"/>
  <c r="H101" i="22"/>
  <c r="J101" i="22" s="1"/>
  <c r="G98" i="22"/>
  <c r="I98" i="22" s="1"/>
  <c r="H97" i="22"/>
  <c r="J97" i="22" s="1"/>
  <c r="G94" i="22"/>
  <c r="I94" i="22" s="1"/>
  <c r="H93" i="22"/>
  <c r="J93" i="22" s="1"/>
  <c r="G90" i="22"/>
  <c r="I90" i="22" s="1"/>
  <c r="H89" i="22"/>
  <c r="J89" i="22" s="1"/>
  <c r="G86" i="22"/>
  <c r="I86" i="22" s="1"/>
  <c r="H85" i="22"/>
  <c r="J85" i="22" s="1"/>
  <c r="D82" i="22"/>
  <c r="F82" i="22" s="1"/>
  <c r="H82" i="22"/>
  <c r="J82" i="22" s="1"/>
  <c r="D78" i="22"/>
  <c r="F78" i="22" s="1"/>
  <c r="H78" i="22"/>
  <c r="J78" i="22" s="1"/>
  <c r="D74" i="22"/>
  <c r="F74" i="22" s="1"/>
  <c r="H74" i="22"/>
  <c r="J74" i="22" s="1"/>
  <c r="C69" i="22"/>
  <c r="E69" i="22" s="1"/>
  <c r="G69" i="22"/>
  <c r="I69" i="22" s="1"/>
  <c r="C67" i="22"/>
  <c r="E67" i="22" s="1"/>
  <c r="G67" i="22"/>
  <c r="I67" i="22" s="1"/>
  <c r="C63" i="22"/>
  <c r="E63" i="22" s="1"/>
  <c r="G63" i="22"/>
  <c r="I63" i="22" s="1"/>
  <c r="D63" i="22"/>
  <c r="F63" i="22" s="1"/>
  <c r="H63" i="22"/>
  <c r="J63" i="22" s="1"/>
  <c r="C83" i="22"/>
  <c r="E83" i="22" s="1"/>
  <c r="G83" i="22"/>
  <c r="I83" i="22" s="1"/>
  <c r="C79" i="22"/>
  <c r="E79" i="22" s="1"/>
  <c r="G79" i="22"/>
  <c r="I79" i="22" s="1"/>
  <c r="C75" i="22"/>
  <c r="E75" i="22" s="1"/>
  <c r="G75" i="22"/>
  <c r="I75" i="22" s="1"/>
  <c r="G61" i="22"/>
  <c r="I61" i="22" s="1"/>
  <c r="C61" i="22"/>
  <c r="E61" i="22" s="1"/>
  <c r="G57" i="22"/>
  <c r="I57" i="22" s="1"/>
  <c r="C57" i="22"/>
  <c r="E57" i="22" s="1"/>
  <c r="G53" i="22"/>
  <c r="I53" i="22" s="1"/>
  <c r="C53" i="22"/>
  <c r="E53" i="22" s="1"/>
  <c r="G49" i="22"/>
  <c r="I49" i="22" s="1"/>
  <c r="C49" i="22"/>
  <c r="E49" i="22" s="1"/>
  <c r="C44" i="22"/>
  <c r="E44" i="22" s="1"/>
  <c r="G44" i="22"/>
  <c r="I44" i="22" s="1"/>
  <c r="D44" i="22"/>
  <c r="F44" i="22" s="1"/>
  <c r="H44" i="22"/>
  <c r="J44" i="22" s="1"/>
  <c r="E12" i="22"/>
  <c r="F10" i="22"/>
  <c r="E8" i="22"/>
  <c r="H59" i="22"/>
  <c r="J59" i="22" s="1"/>
  <c r="D59" i="22"/>
  <c r="F59" i="22" s="1"/>
  <c r="H55" i="22"/>
  <c r="J55" i="22" s="1"/>
  <c r="D55" i="22"/>
  <c r="F55" i="22" s="1"/>
  <c r="H51" i="22"/>
  <c r="J51" i="22" s="1"/>
  <c r="D51" i="22"/>
  <c r="F51" i="22" s="1"/>
  <c r="D47" i="22"/>
  <c r="F47" i="22" s="1"/>
  <c r="H47" i="22"/>
  <c r="J47" i="22" s="1"/>
  <c r="D43" i="22"/>
  <c r="F43" i="22" s="1"/>
  <c r="H43" i="22"/>
  <c r="J43" i="22" s="1"/>
  <c r="C35" i="22"/>
  <c r="E35" i="22" s="1"/>
  <c r="G35" i="22"/>
  <c r="I35" i="22" s="1"/>
  <c r="D35" i="22"/>
  <c r="F35" i="22" s="1"/>
  <c r="H35" i="22"/>
  <c r="J35" i="22" s="1"/>
  <c r="E10" i="22"/>
  <c r="I7" i="22"/>
  <c r="G2" i="22"/>
  <c r="I24" i="24" s="1"/>
  <c r="I38" i="24" s="1"/>
  <c r="H70" i="22"/>
  <c r="J70" i="22" s="1"/>
  <c r="H66" i="22"/>
  <c r="J66" i="22" s="1"/>
  <c r="H62" i="22"/>
  <c r="J62" i="22" s="1"/>
  <c r="G59" i="22"/>
  <c r="I59" i="22" s="1"/>
  <c r="H58" i="22"/>
  <c r="J58" i="22" s="1"/>
  <c r="G55" i="22"/>
  <c r="I55" i="22" s="1"/>
  <c r="H54" i="22"/>
  <c r="J54" i="22" s="1"/>
  <c r="G51" i="22"/>
  <c r="I51" i="22" s="1"/>
  <c r="H50" i="22"/>
  <c r="J50" i="22" s="1"/>
  <c r="G43" i="22"/>
  <c r="I43" i="22" s="1"/>
  <c r="E7" i="22"/>
  <c r="G1" i="22"/>
  <c r="I21" i="24" s="1"/>
  <c r="I35" i="24" s="1"/>
  <c r="H61" i="22"/>
  <c r="J61" i="22" s="1"/>
  <c r="H57" i="22"/>
  <c r="J57" i="22" s="1"/>
  <c r="H53" i="22"/>
  <c r="J53" i="22" s="1"/>
  <c r="H49" i="22"/>
  <c r="J49" i="22" s="1"/>
  <c r="C39" i="22"/>
  <c r="E39" i="22" s="1"/>
  <c r="G39" i="22"/>
  <c r="I39" i="22" s="1"/>
  <c r="D39" i="22"/>
  <c r="F39" i="22" s="1"/>
  <c r="H39" i="22"/>
  <c r="J39" i="22" s="1"/>
  <c r="C31" i="22"/>
  <c r="E31" i="22" s="1"/>
  <c r="G31" i="22"/>
  <c r="I31" i="22" s="1"/>
  <c r="D31" i="22"/>
  <c r="F31" i="22" s="1"/>
  <c r="H31" i="22"/>
  <c r="J31" i="22" s="1"/>
  <c r="H40" i="22"/>
  <c r="J40" i="22" s="1"/>
  <c r="D40" i="22"/>
  <c r="F40" i="22" s="1"/>
  <c r="G37" i="22"/>
  <c r="I37" i="22" s="1"/>
  <c r="H36" i="22"/>
  <c r="J36" i="22" s="1"/>
  <c r="D36" i="22"/>
  <c r="F36" i="22" s="1"/>
  <c r="G33" i="22"/>
  <c r="I33" i="22" s="1"/>
  <c r="H32" i="22"/>
  <c r="J32" i="22" s="1"/>
  <c r="D32" i="22"/>
  <c r="F32" i="22" s="1"/>
  <c r="G29" i="22"/>
  <c r="I29" i="22" s="1"/>
  <c r="H28" i="22"/>
  <c r="J28" i="22" s="1"/>
  <c r="D28" i="22"/>
  <c r="F28" i="22" s="1"/>
  <c r="G25" i="22"/>
  <c r="I25" i="22" s="1"/>
  <c r="H24" i="22"/>
  <c r="J24" i="22" s="1"/>
  <c r="D24" i="22"/>
  <c r="F24" i="22" s="1"/>
  <c r="G21" i="22"/>
  <c r="I21" i="22" s="1"/>
  <c r="H20" i="22"/>
  <c r="J20" i="22" s="1"/>
  <c r="D20" i="22"/>
  <c r="F20" i="22" s="1"/>
  <c r="G17" i="22"/>
  <c r="I17" i="22" s="1"/>
  <c r="H16" i="22"/>
  <c r="J16" i="22" s="1"/>
  <c r="D16" i="22"/>
  <c r="F16" i="22" s="1"/>
  <c r="G13" i="22"/>
  <c r="I13" i="22" s="1"/>
  <c r="H12" i="22"/>
  <c r="J12" i="22" s="1"/>
  <c r="D12" i="22"/>
  <c r="F12" i="22" s="1"/>
  <c r="G9" i="22"/>
  <c r="I9" i="22" s="1"/>
  <c r="C9" i="22"/>
  <c r="E9" i="22" s="1"/>
  <c r="H8" i="22"/>
  <c r="J8" i="22" s="1"/>
  <c r="D8" i="22"/>
  <c r="F8" i="22" s="1"/>
  <c r="G40" i="22"/>
  <c r="I40" i="22" s="1"/>
  <c r="G36" i="22"/>
  <c r="I36" i="22" s="1"/>
  <c r="G32" i="22"/>
  <c r="I32" i="22" s="1"/>
  <c r="G28" i="22"/>
  <c r="I28" i="22" s="1"/>
  <c r="H27" i="22"/>
  <c r="J27" i="22" s="1"/>
  <c r="D27" i="22"/>
  <c r="F27" i="22" s="1"/>
  <c r="G24" i="22"/>
  <c r="I24" i="22" s="1"/>
  <c r="H23" i="22"/>
  <c r="J23" i="22" s="1"/>
  <c r="D23" i="22"/>
  <c r="F23" i="22" s="1"/>
  <c r="G20" i="22"/>
  <c r="I20" i="22" s="1"/>
  <c r="H19" i="22"/>
  <c r="J19" i="22" s="1"/>
  <c r="D19" i="22"/>
  <c r="F19" i="22" s="1"/>
  <c r="G16" i="22"/>
  <c r="I16" i="22" s="1"/>
  <c r="H15" i="22"/>
  <c r="J15" i="22" s="1"/>
  <c r="D15" i="22"/>
  <c r="F15" i="22" s="1"/>
  <c r="G12" i="22"/>
  <c r="I12" i="22" s="1"/>
  <c r="H11" i="22"/>
  <c r="J11" i="22" s="1"/>
  <c r="D11" i="22"/>
  <c r="F11" i="22" s="1"/>
  <c r="G8" i="22"/>
  <c r="I8" i="22" s="1"/>
  <c r="H7" i="22"/>
  <c r="J7" i="22" s="1"/>
  <c r="D7" i="22"/>
  <c r="F7" i="22" s="1"/>
  <c r="G27" i="22"/>
  <c r="I27" i="22" s="1"/>
  <c r="G23" i="22"/>
  <c r="I23" i="22" s="1"/>
  <c r="G19" i="22"/>
  <c r="I19" i="22" s="1"/>
  <c r="G15" i="22"/>
  <c r="I15" i="22" s="1"/>
  <c r="G11" i="22"/>
  <c r="I11" i="22" s="1"/>
  <c r="H9" i="22"/>
  <c r="J9" i="22" s="1"/>
  <c r="G12" i="20"/>
  <c r="M13" i="20"/>
  <c r="L14" i="20"/>
  <c r="B2" i="20"/>
  <c r="A14" i="20"/>
  <c r="C13" i="20"/>
  <c r="K4" i="19"/>
  <c r="L4" i="19" s="1"/>
  <c r="P12" i="20"/>
  <c r="Q12" i="20" s="1"/>
  <c r="B3" i="20"/>
  <c r="J3" i="20"/>
  <c r="S3" i="20"/>
  <c r="V3" i="20" s="1"/>
  <c r="M8" i="20" s="1"/>
  <c r="P8" i="20" s="1"/>
  <c r="K5" i="18"/>
  <c r="L5" i="18" s="1"/>
  <c r="D5" i="19"/>
  <c r="C5" i="19"/>
  <c r="B5" i="19"/>
  <c r="E4" i="19"/>
  <c r="F4" i="19" s="1"/>
  <c r="A6" i="19"/>
  <c r="J5" i="19"/>
  <c r="K5" i="19" s="1"/>
  <c r="A6" i="18"/>
  <c r="I6" i="18"/>
  <c r="K6" i="18" s="1"/>
  <c r="I8" i="18"/>
  <c r="K8" i="18" s="1"/>
  <c r="K4" i="18"/>
  <c r="I7" i="18"/>
  <c r="K7" i="18" s="1"/>
  <c r="B5" i="16"/>
  <c r="D5" i="16"/>
  <c r="C5" i="16"/>
  <c r="E4" i="17"/>
  <c r="F4" i="17" s="1"/>
  <c r="K4" i="17"/>
  <c r="M4" i="17" s="1"/>
  <c r="A6" i="17"/>
  <c r="E4" i="16"/>
  <c r="F4" i="16" s="1"/>
  <c r="K4" i="16"/>
  <c r="L4" i="16" s="1"/>
  <c r="A6" i="16"/>
  <c r="J5" i="16"/>
  <c r="K5" i="16" s="1"/>
  <c r="E23" i="14"/>
  <c r="E24" i="14"/>
  <c r="M33" i="13" s="1"/>
  <c r="E30" i="24" s="1"/>
  <c r="B23" i="14"/>
  <c r="M30" i="13" s="1"/>
  <c r="E20" i="24" s="1"/>
  <c r="E34" i="24" s="1"/>
  <c r="B24" i="14"/>
  <c r="B31" i="14"/>
  <c r="Q30" i="13" s="1"/>
  <c r="F20" i="24" s="1"/>
  <c r="G166" i="13"/>
  <c r="E15" i="14" l="1"/>
  <c r="E8" i="14"/>
  <c r="E33" i="13" s="1"/>
  <c r="C30" i="24" s="1"/>
  <c r="C44" i="24" s="1"/>
  <c r="B16" i="14"/>
  <c r="I31" i="13" s="1"/>
  <c r="D24" i="24" s="1"/>
  <c r="D38" i="24" s="1"/>
  <c r="J5" i="17"/>
  <c r="K5" i="17" s="1"/>
  <c r="M5" i="17" s="1"/>
  <c r="D5" i="17"/>
  <c r="B5" i="17"/>
  <c r="C5" i="17"/>
  <c r="E31" i="14"/>
  <c r="Q32" i="13" s="1"/>
  <c r="F26" i="24" s="1"/>
  <c r="G5" i="18"/>
  <c r="B7" i="14"/>
  <c r="E30" i="13" s="1"/>
  <c r="C20" i="24" s="1"/>
  <c r="C34" i="24" s="1"/>
  <c r="F4" i="18"/>
  <c r="A7" i="18"/>
  <c r="C6" i="18"/>
  <c r="E6" i="18" s="1"/>
  <c r="I32" i="13"/>
  <c r="D26" i="24" s="1"/>
  <c r="D40" i="24" s="1"/>
  <c r="G4" i="17"/>
  <c r="D6" i="17"/>
  <c r="B6" i="17"/>
  <c r="C6" i="17"/>
  <c r="M5" i="18"/>
  <c r="M4" i="19"/>
  <c r="G24" i="24"/>
  <c r="G38" i="24" s="1"/>
  <c r="B6" i="20"/>
  <c r="N12" i="20"/>
  <c r="O12" i="20" s="1"/>
  <c r="D3" i="20"/>
  <c r="G3" i="20" s="1"/>
  <c r="I3" i="24"/>
  <c r="C3" i="24"/>
  <c r="J3" i="24"/>
  <c r="D4" i="22"/>
  <c r="E4" i="22" s="1"/>
  <c r="H5" i="23"/>
  <c r="H6" i="23" s="1"/>
  <c r="J24" i="24"/>
  <c r="J38" i="24" s="1"/>
  <c r="C6" i="20"/>
  <c r="G30" i="24"/>
  <c r="G44" i="24" s="1"/>
  <c r="L4" i="17"/>
  <c r="G5" i="23"/>
  <c r="G6" i="23" s="1"/>
  <c r="J27" i="24"/>
  <c r="J41" i="24" s="1"/>
  <c r="M6" i="18"/>
  <c r="L6" i="18"/>
  <c r="E5" i="16"/>
  <c r="F5" i="16" s="1"/>
  <c r="M4" i="16"/>
  <c r="G4" i="19"/>
  <c r="G4" i="16"/>
  <c r="B9" i="25"/>
  <c r="B10" i="25" s="1"/>
  <c r="B190" i="22"/>
  <c r="C190" i="22" s="1"/>
  <c r="D3" i="22"/>
  <c r="E3" i="22" s="1"/>
  <c r="M46" i="13" s="1"/>
  <c r="D13" i="20"/>
  <c r="G13" i="20" s="1"/>
  <c r="H13" i="20"/>
  <c r="K13" i="20" s="1"/>
  <c r="L15" i="20"/>
  <c r="M14" i="20"/>
  <c r="N14" i="20" s="1"/>
  <c r="O14" i="20" s="1"/>
  <c r="P13" i="20"/>
  <c r="Q13" i="20" s="1"/>
  <c r="N13" i="20"/>
  <c r="O13" i="20" s="1"/>
  <c r="A15" i="20"/>
  <c r="B14" i="20"/>
  <c r="C14" i="20"/>
  <c r="H3" i="20"/>
  <c r="K3" i="20" s="1"/>
  <c r="B4" i="20"/>
  <c r="K12" i="20"/>
  <c r="E5" i="19"/>
  <c r="B6" i="19"/>
  <c r="C6" i="19"/>
  <c r="D6" i="19"/>
  <c r="L5" i="19"/>
  <c r="M5" i="19"/>
  <c r="H6" i="19"/>
  <c r="I6" i="19"/>
  <c r="J6" i="19"/>
  <c r="A7" i="19"/>
  <c r="L7" i="18"/>
  <c r="M7" i="18"/>
  <c r="I9" i="18"/>
  <c r="K9" i="18" s="1"/>
  <c r="M8" i="18"/>
  <c r="L8" i="18"/>
  <c r="M4" i="18"/>
  <c r="L4" i="18"/>
  <c r="C6" i="16"/>
  <c r="D6" i="16"/>
  <c r="B6" i="16"/>
  <c r="H6" i="17"/>
  <c r="I6" i="17"/>
  <c r="J6" i="17"/>
  <c r="A7" i="17"/>
  <c r="L5" i="16"/>
  <c r="M5" i="16"/>
  <c r="H6" i="16"/>
  <c r="I6" i="16"/>
  <c r="J6" i="16"/>
  <c r="A7" i="16"/>
  <c r="I30" i="13"/>
  <c r="D20" i="24" s="1"/>
  <c r="D34" i="24" s="1"/>
  <c r="M31" i="13"/>
  <c r="E24" i="24" s="1"/>
  <c r="E38" i="24" s="1"/>
  <c r="Q33" i="13"/>
  <c r="F30" i="24" s="1"/>
  <c r="E32" i="13"/>
  <c r="C26" i="24" s="1"/>
  <c r="C40" i="24" s="1"/>
  <c r="Q31" i="13"/>
  <c r="F24" i="24" s="1"/>
  <c r="I33" i="13"/>
  <c r="D30" i="24" s="1"/>
  <c r="D44" i="24" s="1"/>
  <c r="M32" i="13"/>
  <c r="E26" i="24" s="1"/>
  <c r="L5" i="17" l="1"/>
  <c r="K3" i="24"/>
  <c r="M166" i="13" s="1"/>
  <c r="E5" i="17"/>
  <c r="A34" i="24"/>
  <c r="A40" i="24"/>
  <c r="B7" i="20"/>
  <c r="E7" i="20" s="1"/>
  <c r="A8" i="18"/>
  <c r="C7" i="18"/>
  <c r="E7" i="18" s="1"/>
  <c r="G6" i="18"/>
  <c r="F6" i="18"/>
  <c r="G5" i="16"/>
  <c r="B7" i="17"/>
  <c r="C7" i="17"/>
  <c r="D7" i="17"/>
  <c r="E6" i="17"/>
  <c r="B8" i="20"/>
  <c r="G21" i="24"/>
  <c r="G35" i="24" s="1"/>
  <c r="A35" i="24" s="1"/>
  <c r="G158" i="13" s="1"/>
  <c r="C8" i="20"/>
  <c r="G27" i="24"/>
  <c r="G41" i="24" s="1"/>
  <c r="A41" i="24" s="1"/>
  <c r="D14" i="20"/>
  <c r="G14" i="20" s="1"/>
  <c r="H14" i="20"/>
  <c r="K14" i="20" s="1"/>
  <c r="L16" i="20"/>
  <c r="M15" i="20"/>
  <c r="A16" i="20"/>
  <c r="C15" i="20"/>
  <c r="B15" i="20"/>
  <c r="E6" i="19"/>
  <c r="G6" i="19" s="1"/>
  <c r="F5" i="19"/>
  <c r="G5" i="19"/>
  <c r="C7" i="19"/>
  <c r="D7" i="19"/>
  <c r="B7" i="19"/>
  <c r="J7" i="19"/>
  <c r="A8" i="19"/>
  <c r="H7" i="19"/>
  <c r="I7" i="19"/>
  <c r="K6" i="19"/>
  <c r="I10" i="18"/>
  <c r="K10" i="18" s="1"/>
  <c r="L9" i="18"/>
  <c r="M9" i="18"/>
  <c r="D7" i="16"/>
  <c r="B7" i="16"/>
  <c r="C7" i="16"/>
  <c r="E6" i="16"/>
  <c r="K6" i="17"/>
  <c r="M6" i="17" s="1"/>
  <c r="J7" i="17"/>
  <c r="A8" i="17"/>
  <c r="H7" i="17"/>
  <c r="I7" i="17"/>
  <c r="K6" i="16"/>
  <c r="L6" i="16" s="1"/>
  <c r="J7" i="16"/>
  <c r="A8" i="16"/>
  <c r="H7" i="16"/>
  <c r="I7" i="16"/>
  <c r="Q47" i="13"/>
  <c r="Q45" i="13"/>
  <c r="M48" i="13"/>
  <c r="F5" i="17" l="1"/>
  <c r="G5" i="17"/>
  <c r="C8" i="18"/>
  <c r="E8" i="18" s="1"/>
  <c r="A9" i="18"/>
  <c r="F7" i="18"/>
  <c r="G7" i="18"/>
  <c r="B8" i="17"/>
  <c r="C8" i="17"/>
  <c r="D8" i="17"/>
  <c r="G6" i="17"/>
  <c r="F6" i="17"/>
  <c r="E7" i="17"/>
  <c r="B9" i="20"/>
  <c r="E9" i="20" s="1"/>
  <c r="D15" i="20"/>
  <c r="G15" i="20" s="1"/>
  <c r="H15" i="20"/>
  <c r="K15" i="20" s="1"/>
  <c r="P15" i="20"/>
  <c r="Q15" i="20" s="1"/>
  <c r="N15" i="20"/>
  <c r="O15" i="20" s="1"/>
  <c r="L17" i="20"/>
  <c r="M16" i="20"/>
  <c r="N16" i="20" s="1"/>
  <c r="O16" i="20" s="1"/>
  <c r="A17" i="20"/>
  <c r="B16" i="20"/>
  <c r="C16" i="20"/>
  <c r="F6" i="19"/>
  <c r="D8" i="19"/>
  <c r="B8" i="19"/>
  <c r="C8" i="19"/>
  <c r="K7" i="19"/>
  <c r="M7" i="19" s="1"/>
  <c r="E7" i="19"/>
  <c r="G6" i="16"/>
  <c r="F6" i="16"/>
  <c r="I8" i="19"/>
  <c r="J8" i="19"/>
  <c r="A9" i="19"/>
  <c r="H8" i="19"/>
  <c r="L6" i="19"/>
  <c r="M6" i="19"/>
  <c r="I11" i="18"/>
  <c r="K11" i="18" s="1"/>
  <c r="L10" i="18"/>
  <c r="M10" i="18"/>
  <c r="B8" i="16"/>
  <c r="C8" i="16"/>
  <c r="D8" i="16"/>
  <c r="E7" i="16"/>
  <c r="M6" i="16"/>
  <c r="L6" i="17"/>
  <c r="K7" i="16"/>
  <c r="M7" i="16" s="1"/>
  <c r="K7" i="17"/>
  <c r="L7" i="17" s="1"/>
  <c r="I8" i="17"/>
  <c r="J8" i="17"/>
  <c r="A9" i="17"/>
  <c r="H8" i="17"/>
  <c r="I8" i="16"/>
  <c r="J8" i="16"/>
  <c r="A9" i="16"/>
  <c r="H8" i="16"/>
  <c r="M50" i="13"/>
  <c r="G8" i="18" l="1"/>
  <c r="F8" i="18"/>
  <c r="C9" i="18"/>
  <c r="E9" i="18" s="1"/>
  <c r="A10" i="18"/>
  <c r="E8" i="17"/>
  <c r="G8" i="17" s="1"/>
  <c r="C9" i="17"/>
  <c r="D9" i="17"/>
  <c r="B9" i="17"/>
  <c r="F7" i="17"/>
  <c r="G7" i="17"/>
  <c r="D16" i="20"/>
  <c r="G16" i="20" s="1"/>
  <c r="H16" i="20"/>
  <c r="K16" i="20" s="1"/>
  <c r="L18" i="20"/>
  <c r="M17" i="20"/>
  <c r="A18" i="20"/>
  <c r="B17" i="20"/>
  <c r="C17" i="20"/>
  <c r="L7" i="19"/>
  <c r="F7" i="19"/>
  <c r="G7" i="19"/>
  <c r="E8" i="19"/>
  <c r="B9" i="19"/>
  <c r="C9" i="19"/>
  <c r="D9" i="19"/>
  <c r="M7" i="17"/>
  <c r="G7" i="16"/>
  <c r="F7" i="16"/>
  <c r="H9" i="19"/>
  <c r="I9" i="19"/>
  <c r="J9" i="19"/>
  <c r="A10" i="19"/>
  <c r="K8" i="19"/>
  <c r="L11" i="18"/>
  <c r="M11" i="18"/>
  <c r="I12" i="18"/>
  <c r="K12" i="18" s="1"/>
  <c r="B9" i="16"/>
  <c r="C9" i="16"/>
  <c r="D9" i="16"/>
  <c r="E8" i="16"/>
  <c r="L7" i="16"/>
  <c r="K8" i="17"/>
  <c r="M8" i="17" s="1"/>
  <c r="H9" i="17"/>
  <c r="I9" i="17"/>
  <c r="J9" i="17"/>
  <c r="A10" i="17"/>
  <c r="H9" i="16"/>
  <c r="I9" i="16"/>
  <c r="J9" i="16"/>
  <c r="A10" i="16"/>
  <c r="K8" i="16"/>
  <c r="C10" i="18" l="1"/>
  <c r="E10" i="18" s="1"/>
  <c r="A11" i="18"/>
  <c r="F9" i="18"/>
  <c r="G9" i="18"/>
  <c r="F8" i="17"/>
  <c r="D10" i="17"/>
  <c r="B10" i="17"/>
  <c r="C10" i="17"/>
  <c r="E9" i="17"/>
  <c r="D17" i="20"/>
  <c r="G17" i="20" s="1"/>
  <c r="H17" i="20"/>
  <c r="K17" i="20" s="1"/>
  <c r="P17" i="20"/>
  <c r="Q17" i="20" s="1"/>
  <c r="N17" i="20"/>
  <c r="O17" i="20" s="1"/>
  <c r="L19" i="20"/>
  <c r="M18" i="20"/>
  <c r="N18" i="20" s="1"/>
  <c r="O18" i="20" s="1"/>
  <c r="A19" i="20"/>
  <c r="B18" i="20"/>
  <c r="C18" i="20"/>
  <c r="B10" i="19"/>
  <c r="C10" i="19"/>
  <c r="D10" i="19"/>
  <c r="F8" i="19"/>
  <c r="G8" i="19"/>
  <c r="E9" i="19"/>
  <c r="G8" i="16"/>
  <c r="F8" i="16"/>
  <c r="M8" i="19"/>
  <c r="L8" i="19"/>
  <c r="H10" i="19"/>
  <c r="I10" i="19"/>
  <c r="J10" i="19"/>
  <c r="A11" i="19"/>
  <c r="K9" i="19"/>
  <c r="I13" i="18"/>
  <c r="K13" i="18" s="1"/>
  <c r="M12" i="18"/>
  <c r="L12" i="18"/>
  <c r="E9" i="16"/>
  <c r="C10" i="16"/>
  <c r="D10" i="16"/>
  <c r="B10" i="16"/>
  <c r="K9" i="17"/>
  <c r="M9" i="17" s="1"/>
  <c r="L8" i="17"/>
  <c r="H10" i="17"/>
  <c r="I10" i="17"/>
  <c r="J10" i="17"/>
  <c r="A11" i="17"/>
  <c r="H10" i="16"/>
  <c r="I10" i="16"/>
  <c r="J10" i="16"/>
  <c r="A11" i="16"/>
  <c r="M8" i="16"/>
  <c r="L8" i="16"/>
  <c r="K9" i="16"/>
  <c r="C11" i="18" l="1"/>
  <c r="E11" i="18" s="1"/>
  <c r="A12" i="18"/>
  <c r="F10" i="18"/>
  <c r="G10" i="18"/>
  <c r="E10" i="17"/>
  <c r="F9" i="17"/>
  <c r="G9" i="17"/>
  <c r="B11" i="17"/>
  <c r="C11" i="17"/>
  <c r="D11" i="17"/>
  <c r="D18" i="20"/>
  <c r="G18" i="20" s="1"/>
  <c r="H18" i="20"/>
  <c r="K18" i="20" s="1"/>
  <c r="L20" i="20"/>
  <c r="M19" i="20"/>
  <c r="A20" i="20"/>
  <c r="B19" i="20"/>
  <c r="C19" i="20"/>
  <c r="E10" i="19"/>
  <c r="F10" i="19" s="1"/>
  <c r="C11" i="19"/>
  <c r="D11" i="19"/>
  <c r="B11" i="19"/>
  <c r="F9" i="19"/>
  <c r="G9" i="19"/>
  <c r="K10" i="19"/>
  <c r="L10" i="19" s="1"/>
  <c r="G9" i="16"/>
  <c r="F9" i="16"/>
  <c r="L9" i="19"/>
  <c r="M9" i="19"/>
  <c r="J11" i="19"/>
  <c r="A12" i="19"/>
  <c r="H11" i="19"/>
  <c r="I11" i="19"/>
  <c r="I14" i="18"/>
  <c r="K14" i="18" s="1"/>
  <c r="L13" i="18"/>
  <c r="M13" i="18"/>
  <c r="E10" i="16"/>
  <c r="D11" i="16"/>
  <c r="B11" i="16"/>
  <c r="C11" i="16"/>
  <c r="L9" i="17"/>
  <c r="K10" i="17"/>
  <c r="L10" i="17" s="1"/>
  <c r="J11" i="17"/>
  <c r="A12" i="17"/>
  <c r="H11" i="17"/>
  <c r="I11" i="17"/>
  <c r="L9" i="16"/>
  <c r="M9" i="16"/>
  <c r="J11" i="16"/>
  <c r="A12" i="16"/>
  <c r="H11" i="16"/>
  <c r="I11" i="16"/>
  <c r="K10" i="16"/>
  <c r="J161" i="13"/>
  <c r="K168" i="13" s="1"/>
  <c r="G5" i="24" s="1"/>
  <c r="Q160" i="13"/>
  <c r="Q156" i="13"/>
  <c r="J155" i="13"/>
  <c r="G168" i="13" s="1"/>
  <c r="Q157" i="13"/>
  <c r="Q159" i="13"/>
  <c r="G161" i="13"/>
  <c r="F11" i="18" l="1"/>
  <c r="G11" i="18"/>
  <c r="C12" i="18"/>
  <c r="E12" i="18" s="1"/>
  <c r="A13" i="18"/>
  <c r="B12" i="17"/>
  <c r="C12" i="17"/>
  <c r="D12" i="17"/>
  <c r="G10" i="17"/>
  <c r="F10" i="17"/>
  <c r="E11" i="17"/>
  <c r="C5" i="24"/>
  <c r="Q163" i="13"/>
  <c r="K172" i="13" s="1"/>
  <c r="G9" i="24" s="1"/>
  <c r="D19" i="20"/>
  <c r="G19" i="20" s="1"/>
  <c r="H19" i="20"/>
  <c r="K19" i="20" s="1"/>
  <c r="P19" i="20"/>
  <c r="Q19" i="20" s="1"/>
  <c r="N19" i="20"/>
  <c r="O19" i="20" s="1"/>
  <c r="L21" i="20"/>
  <c r="M20" i="20"/>
  <c r="N20" i="20" s="1"/>
  <c r="O20" i="20" s="1"/>
  <c r="A21" i="20"/>
  <c r="B20" i="20"/>
  <c r="C20" i="20"/>
  <c r="G10" i="19"/>
  <c r="E11" i="19"/>
  <c r="D12" i="19"/>
  <c r="B12" i="19"/>
  <c r="C12" i="19"/>
  <c r="G10" i="16"/>
  <c r="F10" i="16"/>
  <c r="M10" i="19"/>
  <c r="E11" i="16"/>
  <c r="I12" i="19"/>
  <c r="J12" i="19"/>
  <c r="A13" i="19"/>
  <c r="H12" i="19"/>
  <c r="K11" i="19"/>
  <c r="L14" i="18"/>
  <c r="M14" i="18"/>
  <c r="I15" i="18"/>
  <c r="K15" i="18" s="1"/>
  <c r="B12" i="16"/>
  <c r="C12" i="16"/>
  <c r="D12" i="16"/>
  <c r="M10" i="17"/>
  <c r="I12" i="17"/>
  <c r="J12" i="17"/>
  <c r="A13" i="17"/>
  <c r="H12" i="17"/>
  <c r="K11" i="17"/>
  <c r="K11" i="16"/>
  <c r="L11" i="16" s="1"/>
  <c r="I12" i="16"/>
  <c r="J12" i="16"/>
  <c r="A13" i="16"/>
  <c r="H12" i="16"/>
  <c r="L10" i="16"/>
  <c r="M10" i="16"/>
  <c r="C13" i="18" l="1"/>
  <c r="E13" i="18" s="1"/>
  <c r="A14" i="18"/>
  <c r="F12" i="18"/>
  <c r="G12" i="18"/>
  <c r="E12" i="17"/>
  <c r="C13" i="17"/>
  <c r="D13" i="17"/>
  <c r="B13" i="17"/>
  <c r="F11" i="17"/>
  <c r="G11" i="17"/>
  <c r="K170" i="13"/>
  <c r="G7" i="24" s="1"/>
  <c r="D20" i="20"/>
  <c r="G20" i="20" s="1"/>
  <c r="H20" i="20"/>
  <c r="K20" i="20" s="1"/>
  <c r="L22" i="20"/>
  <c r="M21" i="20"/>
  <c r="A22" i="20"/>
  <c r="B21" i="20"/>
  <c r="C21" i="20"/>
  <c r="G11" i="19"/>
  <c r="F11" i="19"/>
  <c r="B13" i="19"/>
  <c r="C13" i="19"/>
  <c r="D13" i="19"/>
  <c r="E12" i="19"/>
  <c r="G11" i="16"/>
  <c r="F11" i="16"/>
  <c r="K12" i="19"/>
  <c r="M12" i="19" s="1"/>
  <c r="L11" i="19"/>
  <c r="M11" i="19"/>
  <c r="H13" i="19"/>
  <c r="I13" i="19"/>
  <c r="J13" i="19"/>
  <c r="A14" i="19"/>
  <c r="L15" i="18"/>
  <c r="M15" i="18"/>
  <c r="I16" i="18"/>
  <c r="K16" i="18" s="1"/>
  <c r="B13" i="16"/>
  <c r="C13" i="16"/>
  <c r="D13" i="16"/>
  <c r="E12" i="16"/>
  <c r="H13" i="17"/>
  <c r="I13" i="17"/>
  <c r="J13" i="17"/>
  <c r="A14" i="17"/>
  <c r="K12" i="17"/>
  <c r="L11" i="17"/>
  <c r="M11" i="17"/>
  <c r="K12" i="16"/>
  <c r="L12" i="16" s="1"/>
  <c r="M11" i="16"/>
  <c r="H13" i="16"/>
  <c r="I13" i="16"/>
  <c r="J13" i="16"/>
  <c r="A14" i="16"/>
  <c r="F13" i="18" l="1"/>
  <c r="G13" i="18"/>
  <c r="C14" i="18"/>
  <c r="E14" i="18" s="1"/>
  <c r="A15" i="18"/>
  <c r="E13" i="17"/>
  <c r="G13" i="17" s="1"/>
  <c r="D14" i="17"/>
  <c r="B14" i="17"/>
  <c r="C14" i="17"/>
  <c r="F12" i="17"/>
  <c r="G12" i="17"/>
  <c r="D21" i="20"/>
  <c r="G21" i="20" s="1"/>
  <c r="H21" i="20"/>
  <c r="K21" i="20" s="1"/>
  <c r="P21" i="20"/>
  <c r="Q21" i="20" s="1"/>
  <c r="N21" i="20"/>
  <c r="O21" i="20" s="1"/>
  <c r="L23" i="20"/>
  <c r="M22" i="20"/>
  <c r="N22" i="20" s="1"/>
  <c r="O22" i="20" s="1"/>
  <c r="A23" i="20"/>
  <c r="B22" i="20"/>
  <c r="C22" i="20"/>
  <c r="E13" i="19"/>
  <c r="F13" i="19" s="1"/>
  <c r="B14" i="19"/>
  <c r="C14" i="19"/>
  <c r="D14" i="19"/>
  <c r="L12" i="19"/>
  <c r="F12" i="19"/>
  <c r="G12" i="19"/>
  <c r="G12" i="16"/>
  <c r="F12" i="16"/>
  <c r="H14" i="19"/>
  <c r="I14" i="19"/>
  <c r="J14" i="19"/>
  <c r="A15" i="19"/>
  <c r="K13" i="19"/>
  <c r="I17" i="18"/>
  <c r="K17" i="18" s="1"/>
  <c r="M16" i="18"/>
  <c r="L16" i="18"/>
  <c r="E13" i="16"/>
  <c r="C14" i="16"/>
  <c r="D14" i="16"/>
  <c r="B14" i="16"/>
  <c r="M12" i="16"/>
  <c r="K13" i="17"/>
  <c r="L13" i="17" s="1"/>
  <c r="H14" i="17"/>
  <c r="I14" i="17"/>
  <c r="J14" i="17"/>
  <c r="A15" i="17"/>
  <c r="M12" i="17"/>
  <c r="L12" i="17"/>
  <c r="K13" i="16"/>
  <c r="M13" i="16" s="1"/>
  <c r="H14" i="16"/>
  <c r="I14" i="16"/>
  <c r="J14" i="16"/>
  <c r="A15" i="16"/>
  <c r="B3" i="7"/>
  <c r="B1" i="7"/>
  <c r="C15" i="18" l="1"/>
  <c r="E15" i="18" s="1"/>
  <c r="A16" i="18"/>
  <c r="G14" i="18"/>
  <c r="F14" i="18"/>
  <c r="F13" i="17"/>
  <c r="B15" i="17"/>
  <c r="C15" i="17"/>
  <c r="D15" i="17"/>
  <c r="E14" i="17"/>
  <c r="D22" i="20"/>
  <c r="G22" i="20" s="1"/>
  <c r="H22" i="20"/>
  <c r="K22" i="20" s="1"/>
  <c r="L24" i="20"/>
  <c r="M23" i="20"/>
  <c r="A24" i="20"/>
  <c r="B23" i="20"/>
  <c r="C23" i="20"/>
  <c r="G13" i="19"/>
  <c r="E14" i="19"/>
  <c r="B15" i="19"/>
  <c r="C15" i="19"/>
  <c r="D15" i="19"/>
  <c r="G13" i="16"/>
  <c r="F13" i="16"/>
  <c r="K14" i="19"/>
  <c r="J15" i="19"/>
  <c r="A16" i="19"/>
  <c r="H15" i="19"/>
  <c r="I15" i="19"/>
  <c r="L13" i="19"/>
  <c r="M13" i="19"/>
  <c r="L17" i="18"/>
  <c r="M17" i="18"/>
  <c r="I18" i="18"/>
  <c r="K18" i="18" s="1"/>
  <c r="D15" i="16"/>
  <c r="B15" i="16"/>
  <c r="C15" i="16"/>
  <c r="E14" i="16"/>
  <c r="M13" i="17"/>
  <c r="J15" i="17"/>
  <c r="A16" i="17"/>
  <c r="H15" i="17"/>
  <c r="I15" i="17"/>
  <c r="K14" i="17"/>
  <c r="L13" i="16"/>
  <c r="J15" i="16"/>
  <c r="A16" i="16"/>
  <c r="H15" i="16"/>
  <c r="I15" i="16"/>
  <c r="K14" i="16"/>
  <c r="B5" i="7"/>
  <c r="H24" i="24" s="1"/>
  <c r="H38" i="24" s="1"/>
  <c r="A38" i="24" s="1"/>
  <c r="C5" i="7"/>
  <c r="H30" i="24" s="1"/>
  <c r="H44" i="24" s="1"/>
  <c r="A44" i="24" s="1"/>
  <c r="C16" i="18" l="1"/>
  <c r="E16" i="18" s="1"/>
  <c r="A17" i="18"/>
  <c r="G15" i="18"/>
  <c r="F15" i="18"/>
  <c r="E15" i="17"/>
  <c r="F15" i="17" s="1"/>
  <c r="B16" i="17"/>
  <c r="C16" i="17"/>
  <c r="D16" i="17"/>
  <c r="F14" i="17"/>
  <c r="G14" i="17"/>
  <c r="D23" i="20"/>
  <c r="G23" i="20" s="1"/>
  <c r="H23" i="20"/>
  <c r="K23" i="20" s="1"/>
  <c r="P23" i="20"/>
  <c r="Q23" i="20" s="1"/>
  <c r="N23" i="20"/>
  <c r="O23" i="20" s="1"/>
  <c r="L25" i="20"/>
  <c r="M24" i="20"/>
  <c r="N24" i="20" s="1"/>
  <c r="O24" i="20" s="1"/>
  <c r="A25" i="20"/>
  <c r="B24" i="20"/>
  <c r="C24" i="20"/>
  <c r="E15" i="19"/>
  <c r="C16" i="19"/>
  <c r="D16" i="19"/>
  <c r="B16" i="19"/>
  <c r="G14" i="19"/>
  <c r="F14" i="19"/>
  <c r="G14" i="16"/>
  <c r="F14" i="16"/>
  <c r="I16" i="19"/>
  <c r="J16" i="19"/>
  <c r="A17" i="19"/>
  <c r="H16" i="19"/>
  <c r="K15" i="19"/>
  <c r="L14" i="19"/>
  <c r="M14" i="19"/>
  <c r="I19" i="18"/>
  <c r="K19" i="18" s="1"/>
  <c r="L18" i="18"/>
  <c r="M18" i="18"/>
  <c r="B16" i="16"/>
  <c r="C16" i="16"/>
  <c r="D16" i="16"/>
  <c r="E15" i="16"/>
  <c r="I16" i="17"/>
  <c r="J16" i="17"/>
  <c r="A17" i="17"/>
  <c r="H16" i="17"/>
  <c r="L14" i="17"/>
  <c r="M14" i="17"/>
  <c r="K15" i="17"/>
  <c r="I16" i="16"/>
  <c r="J16" i="16"/>
  <c r="A17" i="16"/>
  <c r="H16" i="16"/>
  <c r="L14" i="16"/>
  <c r="M14" i="16"/>
  <c r="K15" i="16"/>
  <c r="P166" i="13"/>
  <c r="Q166" i="13"/>
  <c r="B8" i="7"/>
  <c r="E9" i="7" s="1"/>
  <c r="I47" i="13" s="1"/>
  <c r="F16" i="18" l="1"/>
  <c r="G16" i="18"/>
  <c r="C17" i="18"/>
  <c r="E17" i="18" s="1"/>
  <c r="A18" i="18"/>
  <c r="G15" i="17"/>
  <c r="E16" i="17"/>
  <c r="C17" i="17"/>
  <c r="D17" i="17"/>
  <c r="B17" i="17"/>
  <c r="D24" i="20"/>
  <c r="G24" i="20" s="1"/>
  <c r="H24" i="20"/>
  <c r="K24" i="20" s="1"/>
  <c r="E16" i="19"/>
  <c r="F16" i="19" s="1"/>
  <c r="L26" i="20"/>
  <c r="M25" i="20"/>
  <c r="A26" i="20"/>
  <c r="B25" i="20"/>
  <c r="C25" i="20"/>
  <c r="D17" i="19"/>
  <c r="B17" i="19"/>
  <c r="C17" i="19"/>
  <c r="F15" i="19"/>
  <c r="G15" i="19"/>
  <c r="G15" i="16"/>
  <c r="F15" i="16"/>
  <c r="H17" i="19"/>
  <c r="I17" i="19"/>
  <c r="J17" i="19"/>
  <c r="A18" i="19"/>
  <c r="K16" i="19"/>
  <c r="L15" i="19"/>
  <c r="M15" i="19"/>
  <c r="L19" i="18"/>
  <c r="M19" i="18"/>
  <c r="I20" i="18"/>
  <c r="K20" i="18" s="1"/>
  <c r="E16" i="16"/>
  <c r="B17" i="16"/>
  <c r="C17" i="16"/>
  <c r="D17" i="16"/>
  <c r="K16" i="17"/>
  <c r="M16" i="17" s="1"/>
  <c r="L15" i="17"/>
  <c r="M15" i="17"/>
  <c r="H17" i="17"/>
  <c r="I17" i="17"/>
  <c r="J17" i="17"/>
  <c r="A18" i="17"/>
  <c r="K16" i="16"/>
  <c r="L15" i="16"/>
  <c r="M15" i="16"/>
  <c r="H17" i="16"/>
  <c r="I17" i="16"/>
  <c r="J17" i="16"/>
  <c r="A18" i="16"/>
  <c r="C18" i="18" l="1"/>
  <c r="E18" i="18" s="1"/>
  <c r="A19" i="18"/>
  <c r="G17" i="18"/>
  <c r="F17" i="18"/>
  <c r="E17" i="17"/>
  <c r="G17" i="17" s="1"/>
  <c r="D18" i="17"/>
  <c r="B18" i="17"/>
  <c r="C18" i="17"/>
  <c r="F16" i="17"/>
  <c r="G16" i="17"/>
  <c r="G16" i="19"/>
  <c r="D25" i="20"/>
  <c r="G25" i="20" s="1"/>
  <c r="H25" i="20"/>
  <c r="K25" i="20" s="1"/>
  <c r="P25" i="20"/>
  <c r="Q25" i="20" s="1"/>
  <c r="N25" i="20"/>
  <c r="O25" i="20" s="1"/>
  <c r="L27" i="20"/>
  <c r="M26" i="20"/>
  <c r="N26" i="20" s="1"/>
  <c r="O26" i="20" s="1"/>
  <c r="A27" i="20"/>
  <c r="B26" i="20"/>
  <c r="C26" i="20"/>
  <c r="E17" i="19"/>
  <c r="G17" i="19" s="1"/>
  <c r="B18" i="19"/>
  <c r="C18" i="19"/>
  <c r="D18" i="19"/>
  <c r="K17" i="19"/>
  <c r="L17" i="19" s="1"/>
  <c r="G16" i="16"/>
  <c r="F16" i="16"/>
  <c r="H18" i="19"/>
  <c r="I18" i="19"/>
  <c r="J18" i="19"/>
  <c r="A19" i="19"/>
  <c r="M16" i="19"/>
  <c r="L16" i="19"/>
  <c r="I21" i="18"/>
  <c r="K21" i="18" s="1"/>
  <c r="M20" i="18"/>
  <c r="L20" i="18"/>
  <c r="C18" i="16"/>
  <c r="D18" i="16"/>
  <c r="B18" i="16"/>
  <c r="E17" i="16"/>
  <c r="L16" i="17"/>
  <c r="H18" i="17"/>
  <c r="I18" i="17"/>
  <c r="J18" i="17"/>
  <c r="A19" i="17"/>
  <c r="K17" i="17"/>
  <c r="M16" i="16"/>
  <c r="L16" i="16"/>
  <c r="K17" i="16"/>
  <c r="H18" i="16"/>
  <c r="I18" i="16"/>
  <c r="J18" i="16"/>
  <c r="A19" i="16"/>
  <c r="C19" i="18" l="1"/>
  <c r="E19" i="18" s="1"/>
  <c r="A20" i="18"/>
  <c r="G18" i="18"/>
  <c r="F18" i="18"/>
  <c r="F17" i="17"/>
  <c r="E18" i="17"/>
  <c r="B19" i="17"/>
  <c r="C19" i="17"/>
  <c r="D19" i="17"/>
  <c r="M17" i="19"/>
  <c r="F17" i="19"/>
  <c r="D26" i="20"/>
  <c r="G26" i="20" s="1"/>
  <c r="H26" i="20"/>
  <c r="K26" i="20" s="1"/>
  <c r="L28" i="20"/>
  <c r="M27" i="20"/>
  <c r="A28" i="20"/>
  <c r="B27" i="20"/>
  <c r="C27" i="20"/>
  <c r="K18" i="19"/>
  <c r="L18" i="19" s="1"/>
  <c r="E18" i="19"/>
  <c r="F18" i="19" s="1"/>
  <c r="B19" i="19"/>
  <c r="C19" i="19"/>
  <c r="D19" i="19"/>
  <c r="G17" i="16"/>
  <c r="F17" i="16"/>
  <c r="J19" i="19"/>
  <c r="A20" i="19"/>
  <c r="H19" i="19"/>
  <c r="I19" i="19"/>
  <c r="I22" i="18"/>
  <c r="K22" i="18" s="1"/>
  <c r="L21" i="18"/>
  <c r="M21" i="18"/>
  <c r="D19" i="16"/>
  <c r="B19" i="16"/>
  <c r="C19" i="16"/>
  <c r="E18" i="16"/>
  <c r="J19" i="17"/>
  <c r="A20" i="17"/>
  <c r="H19" i="17"/>
  <c r="I19" i="17"/>
  <c r="K18" i="17"/>
  <c r="L17" i="17"/>
  <c r="M17" i="17"/>
  <c r="K18" i="16"/>
  <c r="J19" i="16"/>
  <c r="A20" i="16"/>
  <c r="H19" i="16"/>
  <c r="I19" i="16"/>
  <c r="L17" i="16"/>
  <c r="M17" i="16"/>
  <c r="Q94" i="13"/>
  <c r="E46" i="13"/>
  <c r="E47" i="13"/>
  <c r="C20" i="18" l="1"/>
  <c r="E20" i="18" s="1"/>
  <c r="A21" i="18"/>
  <c r="F19" i="18"/>
  <c r="G19" i="18"/>
  <c r="M18" i="19"/>
  <c r="E19" i="17"/>
  <c r="B20" i="17"/>
  <c r="C20" i="17"/>
  <c r="D20" i="17"/>
  <c r="F18" i="17"/>
  <c r="G18" i="17"/>
  <c r="G18" i="19"/>
  <c r="D27" i="20"/>
  <c r="G27" i="20" s="1"/>
  <c r="H27" i="20"/>
  <c r="K27" i="20" s="1"/>
  <c r="L29" i="20"/>
  <c r="M28" i="20"/>
  <c r="N28" i="20" s="1"/>
  <c r="O28" i="20" s="1"/>
  <c r="P27" i="20"/>
  <c r="Q27" i="20" s="1"/>
  <c r="N27" i="20"/>
  <c r="O27" i="20" s="1"/>
  <c r="A29" i="20"/>
  <c r="B28" i="20"/>
  <c r="C28" i="20"/>
  <c r="E19" i="19"/>
  <c r="F19" i="19" s="1"/>
  <c r="C20" i="19"/>
  <c r="D20" i="19"/>
  <c r="B20" i="19"/>
  <c r="G18" i="16"/>
  <c r="F18" i="16"/>
  <c r="K19" i="19"/>
  <c r="I20" i="19"/>
  <c r="J20" i="19"/>
  <c r="A21" i="19"/>
  <c r="H20" i="19"/>
  <c r="I23" i="18"/>
  <c r="K23" i="18" s="1"/>
  <c r="L22" i="18"/>
  <c r="M22" i="18"/>
  <c r="B20" i="16"/>
  <c r="C20" i="16"/>
  <c r="D20" i="16"/>
  <c r="E19" i="16"/>
  <c r="I20" i="17"/>
  <c r="J20" i="17"/>
  <c r="A21" i="17"/>
  <c r="H20" i="17"/>
  <c r="L18" i="17"/>
  <c r="M18" i="17"/>
  <c r="K19" i="17"/>
  <c r="K19" i="16"/>
  <c r="I20" i="16"/>
  <c r="J20" i="16"/>
  <c r="A21" i="16"/>
  <c r="H20" i="16"/>
  <c r="L18" i="16"/>
  <c r="M18" i="16"/>
  <c r="C21" i="18" l="1"/>
  <c r="E21" i="18" s="1"/>
  <c r="A22" i="18"/>
  <c r="F20" i="18"/>
  <c r="G20" i="18"/>
  <c r="F19" i="17"/>
  <c r="G19" i="17"/>
  <c r="E20" i="17"/>
  <c r="C21" i="17"/>
  <c r="D21" i="17"/>
  <c r="B21" i="17"/>
  <c r="D28" i="20"/>
  <c r="G28" i="20" s="1"/>
  <c r="H28" i="20"/>
  <c r="K28" i="20" s="1"/>
  <c r="G19" i="19"/>
  <c r="L30" i="20"/>
  <c r="M29" i="20"/>
  <c r="A30" i="20"/>
  <c r="B29" i="20"/>
  <c r="C29" i="20"/>
  <c r="E20" i="19"/>
  <c r="G20" i="19" s="1"/>
  <c r="D21" i="19"/>
  <c r="B21" i="19"/>
  <c r="C21" i="19"/>
  <c r="G19" i="16"/>
  <c r="F19" i="16"/>
  <c r="L19" i="19"/>
  <c r="M19" i="19"/>
  <c r="H21" i="19"/>
  <c r="I21" i="19"/>
  <c r="J21" i="19"/>
  <c r="A22" i="19"/>
  <c r="K20" i="19"/>
  <c r="L23" i="18"/>
  <c r="M23" i="18"/>
  <c r="I24" i="18"/>
  <c r="K24" i="18" s="1"/>
  <c r="E20" i="16"/>
  <c r="B21" i="16"/>
  <c r="C21" i="16"/>
  <c r="D21" i="16"/>
  <c r="K20" i="17"/>
  <c r="M20" i="17" s="1"/>
  <c r="L19" i="17"/>
  <c r="M19" i="17"/>
  <c r="H21" i="17"/>
  <c r="I21" i="17"/>
  <c r="J21" i="17"/>
  <c r="A22" i="17"/>
  <c r="K20" i="16"/>
  <c r="L20" i="16" s="1"/>
  <c r="H21" i="16"/>
  <c r="I21" i="16"/>
  <c r="J21" i="16"/>
  <c r="A22" i="16"/>
  <c r="L19" i="16"/>
  <c r="M19" i="16"/>
  <c r="C22" i="18" l="1"/>
  <c r="E22" i="18" s="1"/>
  <c r="A23" i="18"/>
  <c r="G21" i="18"/>
  <c r="F21" i="18"/>
  <c r="E21" i="17"/>
  <c r="G21" i="17" s="1"/>
  <c r="F20" i="17"/>
  <c r="G20" i="17"/>
  <c r="D22" i="17"/>
  <c r="B22" i="17"/>
  <c r="C22" i="17"/>
  <c r="F20" i="19"/>
  <c r="D29" i="20"/>
  <c r="G29" i="20" s="1"/>
  <c r="H29" i="20"/>
  <c r="K29" i="20" s="1"/>
  <c r="P29" i="20"/>
  <c r="Q29" i="20" s="1"/>
  <c r="N29" i="20"/>
  <c r="O29" i="20" s="1"/>
  <c r="L31" i="20"/>
  <c r="M30" i="20"/>
  <c r="N30" i="20" s="1"/>
  <c r="O30" i="20" s="1"/>
  <c r="A31" i="20"/>
  <c r="B30" i="20"/>
  <c r="C30" i="20"/>
  <c r="E21" i="19"/>
  <c r="F21" i="19" s="1"/>
  <c r="E21" i="16"/>
  <c r="G21" i="16" s="1"/>
  <c r="K21" i="19"/>
  <c r="M21" i="19" s="1"/>
  <c r="B22" i="19"/>
  <c r="C22" i="19"/>
  <c r="D22" i="19"/>
  <c r="G20" i="16"/>
  <c r="F20" i="16"/>
  <c r="H22" i="19"/>
  <c r="I22" i="19"/>
  <c r="J22" i="19"/>
  <c r="A23" i="19"/>
  <c r="M20" i="19"/>
  <c r="L20" i="19"/>
  <c r="I25" i="18"/>
  <c r="K25" i="18" s="1"/>
  <c r="M24" i="18"/>
  <c r="L24" i="18"/>
  <c r="C22" i="16"/>
  <c r="D22" i="16"/>
  <c r="B22" i="16"/>
  <c r="L20" i="17"/>
  <c r="M20" i="16"/>
  <c r="K21" i="17"/>
  <c r="L21" i="17" s="1"/>
  <c r="H22" i="17"/>
  <c r="I22" i="17"/>
  <c r="J22" i="17"/>
  <c r="A23" i="17"/>
  <c r="K21" i="16"/>
  <c r="L21" i="16" s="1"/>
  <c r="H22" i="16"/>
  <c r="I22" i="16"/>
  <c r="J22" i="16"/>
  <c r="A23" i="16"/>
  <c r="F22" i="18" l="1"/>
  <c r="G22" i="18"/>
  <c r="C23" i="18"/>
  <c r="E23" i="18" s="1"/>
  <c r="A24" i="18"/>
  <c r="F21" i="17"/>
  <c r="E22" i="17"/>
  <c r="B23" i="17"/>
  <c r="C23" i="17"/>
  <c r="D23" i="17"/>
  <c r="L21" i="19"/>
  <c r="G21" i="19"/>
  <c r="D30" i="20"/>
  <c r="G30" i="20" s="1"/>
  <c r="H30" i="20"/>
  <c r="K30" i="20" s="1"/>
  <c r="F21" i="16"/>
  <c r="L32" i="20"/>
  <c r="M31" i="20"/>
  <c r="A32" i="20"/>
  <c r="B31" i="20"/>
  <c r="C31" i="20"/>
  <c r="E22" i="19"/>
  <c r="G22" i="19" s="1"/>
  <c r="B23" i="19"/>
  <c r="C23" i="19"/>
  <c r="D23" i="19"/>
  <c r="K22" i="19"/>
  <c r="M22" i="19" s="1"/>
  <c r="M21" i="16"/>
  <c r="J23" i="19"/>
  <c r="A24" i="19"/>
  <c r="H23" i="19"/>
  <c r="I23" i="19"/>
  <c r="I26" i="18"/>
  <c r="K26" i="18" s="1"/>
  <c r="L25" i="18"/>
  <c r="M25" i="18"/>
  <c r="D23" i="16"/>
  <c r="B23" i="16"/>
  <c r="C23" i="16"/>
  <c r="E22" i="16"/>
  <c r="M21" i="17"/>
  <c r="K22" i="16"/>
  <c r="L22" i="16" s="1"/>
  <c r="J23" i="17"/>
  <c r="A24" i="17"/>
  <c r="H23" i="17"/>
  <c r="I23" i="17"/>
  <c r="K22" i="17"/>
  <c r="J23" i="16"/>
  <c r="A24" i="16"/>
  <c r="H23" i="16"/>
  <c r="I23" i="16"/>
  <c r="C24" i="18" l="1"/>
  <c r="E24" i="18" s="1"/>
  <c r="A25" i="18"/>
  <c r="F23" i="18"/>
  <c r="G23" i="18"/>
  <c r="G22" i="17"/>
  <c r="F22" i="17"/>
  <c r="B24" i="17"/>
  <c r="C24" i="17"/>
  <c r="D24" i="17"/>
  <c r="E23" i="17"/>
  <c r="D31" i="20"/>
  <c r="G31" i="20" s="1"/>
  <c r="H31" i="20"/>
  <c r="K31" i="20" s="1"/>
  <c r="P31" i="20"/>
  <c r="Q31" i="20" s="1"/>
  <c r="N31" i="20"/>
  <c r="O31" i="20" s="1"/>
  <c r="L33" i="20"/>
  <c r="M32" i="20"/>
  <c r="N32" i="20" s="1"/>
  <c r="O32" i="20" s="1"/>
  <c r="A33" i="20"/>
  <c r="B32" i="20"/>
  <c r="C32" i="20"/>
  <c r="L22" i="19"/>
  <c r="F22" i="19"/>
  <c r="E23" i="19"/>
  <c r="C24" i="19"/>
  <c r="D24" i="19"/>
  <c r="B24" i="19"/>
  <c r="G22" i="16"/>
  <c r="F22" i="16"/>
  <c r="K23" i="19"/>
  <c r="I24" i="19"/>
  <c r="J24" i="19"/>
  <c r="A25" i="19"/>
  <c r="H24" i="19"/>
  <c r="I27" i="18"/>
  <c r="K27" i="18" s="1"/>
  <c r="L26" i="18"/>
  <c r="M26" i="18"/>
  <c r="B24" i="16"/>
  <c r="C24" i="16"/>
  <c r="D24" i="16"/>
  <c r="E23" i="16"/>
  <c r="K23" i="16"/>
  <c r="L23" i="16" s="1"/>
  <c r="M22" i="16"/>
  <c r="I24" i="17"/>
  <c r="J24" i="17"/>
  <c r="A25" i="17"/>
  <c r="H24" i="17"/>
  <c r="L22" i="17"/>
  <c r="M22" i="17"/>
  <c r="K23" i="17"/>
  <c r="I24" i="16"/>
  <c r="J24" i="16"/>
  <c r="A25" i="16"/>
  <c r="H24" i="16"/>
  <c r="C25" i="18" l="1"/>
  <c r="E25" i="18" s="1"/>
  <c r="A26" i="18"/>
  <c r="F24" i="18"/>
  <c r="G24" i="18"/>
  <c r="E24" i="17"/>
  <c r="F24" i="17" s="1"/>
  <c r="C25" i="17"/>
  <c r="D25" i="17"/>
  <c r="B25" i="17"/>
  <c r="F23" i="17"/>
  <c r="G23" i="17"/>
  <c r="D32" i="20"/>
  <c r="G32" i="20" s="1"/>
  <c r="H32" i="20"/>
  <c r="K32" i="20" s="1"/>
  <c r="L34" i="20"/>
  <c r="M33" i="20"/>
  <c r="A34" i="20"/>
  <c r="B33" i="20"/>
  <c r="C33" i="20"/>
  <c r="E24" i="19"/>
  <c r="G24" i="19" s="1"/>
  <c r="F23" i="19"/>
  <c r="G23" i="19"/>
  <c r="D25" i="19"/>
  <c r="B25" i="19"/>
  <c r="C25" i="19"/>
  <c r="K24" i="19"/>
  <c r="M24" i="19" s="1"/>
  <c r="G23" i="16"/>
  <c r="F23" i="16"/>
  <c r="H25" i="19"/>
  <c r="I25" i="19"/>
  <c r="J25" i="19"/>
  <c r="A26" i="19"/>
  <c r="L23" i="19"/>
  <c r="M23" i="19"/>
  <c r="L27" i="18"/>
  <c r="M27" i="18"/>
  <c r="I28" i="18"/>
  <c r="K28" i="18" s="1"/>
  <c r="E24" i="16"/>
  <c r="B25" i="16"/>
  <c r="C25" i="16"/>
  <c r="D25" i="16"/>
  <c r="M23" i="16"/>
  <c r="L23" i="17"/>
  <c r="M23" i="17"/>
  <c r="H25" i="17"/>
  <c r="I25" i="17"/>
  <c r="J25" i="17"/>
  <c r="A26" i="17"/>
  <c r="K24" i="17"/>
  <c r="K24" i="16"/>
  <c r="H25" i="16"/>
  <c r="I25" i="16"/>
  <c r="J25" i="16"/>
  <c r="A26" i="16"/>
  <c r="C26" i="18" l="1"/>
  <c r="E26" i="18" s="1"/>
  <c r="A27" i="18"/>
  <c r="G25" i="18"/>
  <c r="F25" i="18"/>
  <c r="G24" i="17"/>
  <c r="D26" i="17"/>
  <c r="B26" i="17"/>
  <c r="C26" i="17"/>
  <c r="E25" i="17"/>
  <c r="D33" i="20"/>
  <c r="G33" i="20" s="1"/>
  <c r="H33" i="20"/>
  <c r="K33" i="20" s="1"/>
  <c r="L35" i="20"/>
  <c r="M34" i="20"/>
  <c r="N34" i="20" s="1"/>
  <c r="O34" i="20" s="1"/>
  <c r="P33" i="20"/>
  <c r="Q33" i="20" s="1"/>
  <c r="N33" i="20"/>
  <c r="O33" i="20" s="1"/>
  <c r="A35" i="20"/>
  <c r="B34" i="20"/>
  <c r="C34" i="20"/>
  <c r="F24" i="19"/>
  <c r="E25" i="16"/>
  <c r="G25" i="16" s="1"/>
  <c r="L24" i="19"/>
  <c r="E25" i="19"/>
  <c r="G25" i="19" s="1"/>
  <c r="B26" i="19"/>
  <c r="C26" i="19"/>
  <c r="D26" i="19"/>
  <c r="G24" i="16"/>
  <c r="F24" i="16"/>
  <c r="H26" i="19"/>
  <c r="I26" i="19"/>
  <c r="J26" i="19"/>
  <c r="A27" i="19"/>
  <c r="K25" i="19"/>
  <c r="I29" i="18"/>
  <c r="K29" i="18" s="1"/>
  <c r="M28" i="18"/>
  <c r="L28" i="18"/>
  <c r="C26" i="16"/>
  <c r="D26" i="16"/>
  <c r="B26" i="16"/>
  <c r="M24" i="17"/>
  <c r="L24" i="17"/>
  <c r="H26" i="17"/>
  <c r="I26" i="17"/>
  <c r="J26" i="17"/>
  <c r="A27" i="17"/>
  <c r="K25" i="17"/>
  <c r="K25" i="16"/>
  <c r="H26" i="16"/>
  <c r="I26" i="16"/>
  <c r="J26" i="16"/>
  <c r="A27" i="16"/>
  <c r="M24" i="16"/>
  <c r="L24" i="16"/>
  <c r="C27" i="18" l="1"/>
  <c r="E27" i="18" s="1"/>
  <c r="A28" i="18"/>
  <c r="F26" i="18"/>
  <c r="G26" i="18"/>
  <c r="E26" i="17"/>
  <c r="F26" i="17" s="1"/>
  <c r="B27" i="17"/>
  <c r="C27" i="17"/>
  <c r="D27" i="17"/>
  <c r="F25" i="17"/>
  <c r="G25" i="17"/>
  <c r="F25" i="16"/>
  <c r="D34" i="20"/>
  <c r="G34" i="20" s="1"/>
  <c r="H34" i="20"/>
  <c r="K34" i="20" s="1"/>
  <c r="F25" i="19"/>
  <c r="L36" i="20"/>
  <c r="M35" i="20"/>
  <c r="A36" i="20"/>
  <c r="B35" i="20"/>
  <c r="C35" i="20"/>
  <c r="E26" i="19"/>
  <c r="F26" i="19" s="1"/>
  <c r="B27" i="19"/>
  <c r="C27" i="19"/>
  <c r="D27" i="19"/>
  <c r="L25" i="19"/>
  <c r="M25" i="19"/>
  <c r="J27" i="19"/>
  <c r="A28" i="19"/>
  <c r="H27" i="19"/>
  <c r="I27" i="19"/>
  <c r="K26" i="19"/>
  <c r="I30" i="18"/>
  <c r="K30" i="18" s="1"/>
  <c r="L29" i="18"/>
  <c r="M29" i="18"/>
  <c r="D27" i="16"/>
  <c r="B27" i="16"/>
  <c r="C27" i="16"/>
  <c r="E26" i="16"/>
  <c r="L25" i="17"/>
  <c r="M25" i="17"/>
  <c r="J27" i="17"/>
  <c r="A28" i="17"/>
  <c r="H27" i="17"/>
  <c r="I27" i="17"/>
  <c r="K26" i="17"/>
  <c r="K26" i="16"/>
  <c r="J27" i="16"/>
  <c r="A28" i="16"/>
  <c r="H27" i="16"/>
  <c r="I27" i="16"/>
  <c r="L25" i="16"/>
  <c r="M25" i="16"/>
  <c r="C28" i="18" l="1"/>
  <c r="E28" i="18" s="1"/>
  <c r="A29" i="18"/>
  <c r="G27" i="18"/>
  <c r="F27" i="18"/>
  <c r="G26" i="17"/>
  <c r="E27" i="17"/>
  <c r="F27" i="17" s="1"/>
  <c r="B28" i="17"/>
  <c r="C28" i="17"/>
  <c r="D28" i="17"/>
  <c r="D35" i="20"/>
  <c r="G35" i="20" s="1"/>
  <c r="H35" i="20"/>
  <c r="K35" i="20" s="1"/>
  <c r="P35" i="20"/>
  <c r="Q35" i="20" s="1"/>
  <c r="N35" i="20"/>
  <c r="O35" i="20" s="1"/>
  <c r="L37" i="20"/>
  <c r="M36" i="20"/>
  <c r="N36" i="20" s="1"/>
  <c r="O36" i="20" s="1"/>
  <c r="A37" i="20"/>
  <c r="B36" i="20"/>
  <c r="C36" i="20"/>
  <c r="G26" i="19"/>
  <c r="E27" i="16"/>
  <c r="G27" i="16" s="1"/>
  <c r="C28" i="19"/>
  <c r="D28" i="19"/>
  <c r="B28" i="19"/>
  <c r="E27" i="19"/>
  <c r="G26" i="16"/>
  <c r="F26" i="16"/>
  <c r="I28" i="19"/>
  <c r="J28" i="19"/>
  <c r="A29" i="19"/>
  <c r="H28" i="19"/>
  <c r="L26" i="19"/>
  <c r="M26" i="19"/>
  <c r="K27" i="19"/>
  <c r="I31" i="18"/>
  <c r="K31" i="18" s="1"/>
  <c r="L30" i="18"/>
  <c r="M30" i="18"/>
  <c r="B28" i="16"/>
  <c r="C28" i="16"/>
  <c r="D28" i="16"/>
  <c r="I28" i="17"/>
  <c r="J28" i="17"/>
  <c r="A29" i="17"/>
  <c r="H28" i="17"/>
  <c r="L26" i="17"/>
  <c r="M26" i="17"/>
  <c r="K27" i="17"/>
  <c r="K27" i="16"/>
  <c r="I28" i="16"/>
  <c r="H28" i="16"/>
  <c r="J28" i="16"/>
  <c r="A29" i="16"/>
  <c r="L26" i="16"/>
  <c r="M26" i="16"/>
  <c r="Q155" i="13"/>
  <c r="Q161" i="13" s="1"/>
  <c r="G170" i="13" s="1"/>
  <c r="C29" i="18" l="1"/>
  <c r="E29" i="18" s="1"/>
  <c r="A30" i="18"/>
  <c r="F28" i="18"/>
  <c r="G28" i="18"/>
  <c r="G27" i="17"/>
  <c r="C29" i="17"/>
  <c r="D29" i="17"/>
  <c r="B29" i="17"/>
  <c r="E28" i="17"/>
  <c r="C7" i="24"/>
  <c r="D36" i="20"/>
  <c r="G36" i="20" s="1"/>
  <c r="H36" i="20"/>
  <c r="K36" i="20" s="1"/>
  <c r="L38" i="20"/>
  <c r="M37" i="20"/>
  <c r="A38" i="20"/>
  <c r="B37" i="20"/>
  <c r="C37" i="20"/>
  <c r="F27" i="16"/>
  <c r="F27" i="19"/>
  <c r="G27" i="19"/>
  <c r="D29" i="19"/>
  <c r="B29" i="19"/>
  <c r="C29" i="19"/>
  <c r="E28" i="19"/>
  <c r="L27" i="19"/>
  <c r="M27" i="19"/>
  <c r="H29" i="19"/>
  <c r="I29" i="19"/>
  <c r="J29" i="19"/>
  <c r="A30" i="19"/>
  <c r="K28" i="19"/>
  <c r="L31" i="18"/>
  <c r="M31" i="18"/>
  <c r="I32" i="18"/>
  <c r="K32" i="18" s="1"/>
  <c r="E28" i="16"/>
  <c r="B29" i="16"/>
  <c r="C29" i="16"/>
  <c r="D29" i="16"/>
  <c r="L27" i="17"/>
  <c r="M27" i="17"/>
  <c r="H29" i="17"/>
  <c r="I29" i="17"/>
  <c r="J29" i="17"/>
  <c r="A30" i="17"/>
  <c r="K28" i="17"/>
  <c r="K28" i="16"/>
  <c r="M28" i="16" s="1"/>
  <c r="H29" i="16"/>
  <c r="J29" i="16"/>
  <c r="A30" i="16"/>
  <c r="I29" i="16"/>
  <c r="L27" i="16"/>
  <c r="M27" i="16"/>
  <c r="J158" i="13"/>
  <c r="Q158" i="13"/>
  <c r="Q162" i="13" s="1"/>
  <c r="I170" i="13" s="1"/>
  <c r="E7" i="24" s="1"/>
  <c r="G155" i="13"/>
  <c r="G172" i="13" s="1"/>
  <c r="C30" i="18" l="1"/>
  <c r="E30" i="18" s="1"/>
  <c r="A31" i="18"/>
  <c r="G29" i="18"/>
  <c r="F29" i="18"/>
  <c r="D30" i="17"/>
  <c r="B30" i="17"/>
  <c r="C30" i="17"/>
  <c r="F28" i="17"/>
  <c r="G28" i="17"/>
  <c r="E29" i="17"/>
  <c r="J7" i="24"/>
  <c r="I7" i="24"/>
  <c r="C9" i="24"/>
  <c r="D37" i="20"/>
  <c r="G37" i="20" s="1"/>
  <c r="H37" i="20"/>
  <c r="K37" i="20" s="1"/>
  <c r="P37" i="20"/>
  <c r="Q37" i="20" s="1"/>
  <c r="N37" i="20"/>
  <c r="O37" i="20" s="1"/>
  <c r="L39" i="20"/>
  <c r="M38" i="20"/>
  <c r="N38" i="20" s="1"/>
  <c r="O38" i="20" s="1"/>
  <c r="A39" i="20"/>
  <c r="B38" i="20"/>
  <c r="C38" i="20"/>
  <c r="E29" i="16"/>
  <c r="F29" i="16" s="1"/>
  <c r="D30" i="19"/>
  <c r="B30" i="19"/>
  <c r="C30" i="19"/>
  <c r="E29" i="19"/>
  <c r="F28" i="19"/>
  <c r="G28" i="19"/>
  <c r="K29" i="17"/>
  <c r="L29" i="17" s="1"/>
  <c r="K29" i="19"/>
  <c r="M28" i="19"/>
  <c r="L28" i="19"/>
  <c r="H30" i="19"/>
  <c r="I30" i="19"/>
  <c r="J30" i="19"/>
  <c r="A31" i="19"/>
  <c r="I33" i="18"/>
  <c r="K33" i="18" s="1"/>
  <c r="M32" i="18"/>
  <c r="L32" i="18"/>
  <c r="C30" i="16"/>
  <c r="D30" i="16"/>
  <c r="B30" i="16"/>
  <c r="F28" i="16"/>
  <c r="G28" i="16"/>
  <c r="H30" i="17"/>
  <c r="I30" i="17"/>
  <c r="J30" i="17"/>
  <c r="A31" i="17"/>
  <c r="M28" i="17"/>
  <c r="L28" i="17"/>
  <c r="L28" i="16"/>
  <c r="K29" i="16"/>
  <c r="L29" i="16" s="1"/>
  <c r="I30" i="16"/>
  <c r="H30" i="16"/>
  <c r="J30" i="16"/>
  <c r="A31" i="16"/>
  <c r="I172" i="13"/>
  <c r="E9" i="24" s="1"/>
  <c r="I168" i="13"/>
  <c r="G29" i="16" l="1"/>
  <c r="C31" i="18"/>
  <c r="E31" i="18" s="1"/>
  <c r="A32" i="18"/>
  <c r="G30" i="18"/>
  <c r="F30" i="18"/>
  <c r="B31" i="17"/>
  <c r="C31" i="17"/>
  <c r="D31" i="17"/>
  <c r="F29" i="17"/>
  <c r="G29" i="17"/>
  <c r="E30" i="17"/>
  <c r="I9" i="24"/>
  <c r="K7" i="24"/>
  <c r="E5" i="24"/>
  <c r="I5" i="24"/>
  <c r="J5" i="24"/>
  <c r="J9" i="24"/>
  <c r="D38" i="20"/>
  <c r="G38" i="20" s="1"/>
  <c r="H38" i="20"/>
  <c r="K38" i="20" s="1"/>
  <c r="L40" i="20"/>
  <c r="M39" i="20"/>
  <c r="A40" i="20"/>
  <c r="B39" i="20"/>
  <c r="C39" i="20"/>
  <c r="M29" i="17"/>
  <c r="E30" i="19"/>
  <c r="G30" i="19" s="1"/>
  <c r="B31" i="19"/>
  <c r="C31" i="19"/>
  <c r="D31" i="19"/>
  <c r="F29" i="19"/>
  <c r="G29" i="19"/>
  <c r="L29" i="19"/>
  <c r="M29" i="19"/>
  <c r="J31" i="19"/>
  <c r="A32" i="19"/>
  <c r="H31" i="19"/>
  <c r="I31" i="19"/>
  <c r="K30" i="19"/>
  <c r="I34" i="18"/>
  <c r="K34" i="18" s="1"/>
  <c r="L33" i="18"/>
  <c r="M33" i="18"/>
  <c r="D31" i="16"/>
  <c r="B31" i="16"/>
  <c r="C31" i="16"/>
  <c r="E30" i="16"/>
  <c r="J31" i="17"/>
  <c r="A32" i="17"/>
  <c r="H31" i="17"/>
  <c r="I31" i="17"/>
  <c r="K30" i="17"/>
  <c r="M29" i="16"/>
  <c r="K30" i="16"/>
  <c r="J31" i="16"/>
  <c r="A32" i="16"/>
  <c r="H31" i="16"/>
  <c r="I31" i="16"/>
  <c r="C32" i="18" l="1"/>
  <c r="E32" i="18" s="1"/>
  <c r="A33" i="18"/>
  <c r="F31" i="18"/>
  <c r="G31" i="18"/>
  <c r="B32" i="17"/>
  <c r="C32" i="17"/>
  <c r="D32" i="17"/>
  <c r="E31" i="17"/>
  <c r="F30" i="17"/>
  <c r="G30" i="17"/>
  <c r="K9" i="24"/>
  <c r="M172" i="13" s="1"/>
  <c r="K5" i="24"/>
  <c r="M168" i="13" s="1"/>
  <c r="D39" i="20"/>
  <c r="G39" i="20" s="1"/>
  <c r="H39" i="20"/>
  <c r="K39" i="20" s="1"/>
  <c r="P39" i="20"/>
  <c r="Q39" i="20" s="1"/>
  <c r="N39" i="20"/>
  <c r="O39" i="20" s="1"/>
  <c r="L41" i="20"/>
  <c r="M40" i="20"/>
  <c r="N40" i="20" s="1"/>
  <c r="O40" i="20" s="1"/>
  <c r="A41" i="20"/>
  <c r="B40" i="20"/>
  <c r="C40" i="20"/>
  <c r="F30" i="19"/>
  <c r="E31" i="19"/>
  <c r="F31" i="19" s="1"/>
  <c r="B32" i="19"/>
  <c r="C32" i="19"/>
  <c r="D32" i="19"/>
  <c r="G30" i="16"/>
  <c r="F30" i="16"/>
  <c r="I32" i="19"/>
  <c r="J32" i="19"/>
  <c r="A33" i="19"/>
  <c r="H32" i="19"/>
  <c r="L30" i="19"/>
  <c r="M30" i="19"/>
  <c r="K31" i="19"/>
  <c r="I35" i="18"/>
  <c r="K35" i="18" s="1"/>
  <c r="L34" i="18"/>
  <c r="M34" i="18"/>
  <c r="E31" i="16"/>
  <c r="B32" i="16"/>
  <c r="C32" i="16"/>
  <c r="D32" i="16"/>
  <c r="K31" i="17"/>
  <c r="L31" i="17" s="1"/>
  <c r="L30" i="17"/>
  <c r="M30" i="17"/>
  <c r="I32" i="17"/>
  <c r="J32" i="17"/>
  <c r="A33" i="17"/>
  <c r="H32" i="17"/>
  <c r="K31" i="16"/>
  <c r="I32" i="16"/>
  <c r="H32" i="16"/>
  <c r="J32" i="16"/>
  <c r="A33" i="16"/>
  <c r="M30" i="16"/>
  <c r="L30" i="16"/>
  <c r="M170" i="13"/>
  <c r="C33" i="18" l="1"/>
  <c r="E33" i="18" s="1"/>
  <c r="A34" i="18"/>
  <c r="F32" i="18"/>
  <c r="G32" i="18"/>
  <c r="F31" i="17"/>
  <c r="G31" i="17"/>
  <c r="E32" i="17"/>
  <c r="C33" i="17"/>
  <c r="D33" i="17"/>
  <c r="B33" i="17"/>
  <c r="D40" i="20"/>
  <c r="G40" i="20" s="1"/>
  <c r="H40" i="20"/>
  <c r="K40" i="20" s="1"/>
  <c r="G31" i="19"/>
  <c r="L42" i="20"/>
  <c r="M41" i="20"/>
  <c r="A42" i="20"/>
  <c r="B41" i="20"/>
  <c r="C41" i="20"/>
  <c r="E32" i="19"/>
  <c r="C33" i="19"/>
  <c r="D33" i="19"/>
  <c r="B33" i="19"/>
  <c r="G31" i="16"/>
  <c r="F31" i="16"/>
  <c r="L31" i="19"/>
  <c r="M31" i="19"/>
  <c r="H33" i="19"/>
  <c r="I33" i="19"/>
  <c r="J33" i="19"/>
  <c r="A34" i="19"/>
  <c r="K32" i="19"/>
  <c r="L35" i="18"/>
  <c r="M35" i="18"/>
  <c r="I36" i="18"/>
  <c r="K36" i="18" s="1"/>
  <c r="E32" i="16"/>
  <c r="B33" i="16"/>
  <c r="C33" i="16"/>
  <c r="D33" i="16"/>
  <c r="M31" i="17"/>
  <c r="K32" i="16"/>
  <c r="L32" i="16" s="1"/>
  <c r="H33" i="17"/>
  <c r="I33" i="17"/>
  <c r="J33" i="17"/>
  <c r="A34" i="17"/>
  <c r="K32" i="17"/>
  <c r="H33" i="16"/>
  <c r="J33" i="16"/>
  <c r="A34" i="16"/>
  <c r="I33" i="16"/>
  <c r="L31" i="16"/>
  <c r="M31" i="16"/>
  <c r="P172" i="13"/>
  <c r="Q172" i="13"/>
  <c r="Q168" i="13"/>
  <c r="P168" i="13"/>
  <c r="P170" i="13"/>
  <c r="Q170" i="13"/>
  <c r="C34" i="18" l="1"/>
  <c r="E34" i="18" s="1"/>
  <c r="A35" i="18"/>
  <c r="F33" i="18"/>
  <c r="G33" i="18"/>
  <c r="F32" i="17"/>
  <c r="G32" i="17"/>
  <c r="D34" i="17"/>
  <c r="B34" i="17"/>
  <c r="C34" i="17"/>
  <c r="E33" i="17"/>
  <c r="D41" i="20"/>
  <c r="G41" i="20" s="1"/>
  <c r="H41" i="20"/>
  <c r="K41" i="20" s="1"/>
  <c r="L43" i="20"/>
  <c r="M42" i="20"/>
  <c r="N42" i="20" s="1"/>
  <c r="O42" i="20" s="1"/>
  <c r="P41" i="20"/>
  <c r="Q41" i="20" s="1"/>
  <c r="N41" i="20"/>
  <c r="O41" i="20" s="1"/>
  <c r="A43" i="20"/>
  <c r="B42" i="20"/>
  <c r="C42" i="20"/>
  <c r="D34" i="19"/>
  <c r="B34" i="19"/>
  <c r="C34" i="19"/>
  <c r="E33" i="19"/>
  <c r="F32" i="19"/>
  <c r="G32" i="19"/>
  <c r="G32" i="16"/>
  <c r="F32" i="16"/>
  <c r="K33" i="19"/>
  <c r="M32" i="19"/>
  <c r="L32" i="19"/>
  <c r="H34" i="19"/>
  <c r="I34" i="19"/>
  <c r="J34" i="19"/>
  <c r="A35" i="19"/>
  <c r="I37" i="18"/>
  <c r="K37" i="18" s="1"/>
  <c r="M36" i="18"/>
  <c r="L36" i="18"/>
  <c r="C34" i="16"/>
  <c r="D34" i="16"/>
  <c r="B34" i="16"/>
  <c r="E33" i="16"/>
  <c r="M32" i="16"/>
  <c r="M32" i="17"/>
  <c r="L32" i="17"/>
  <c r="H34" i="17"/>
  <c r="I34" i="17"/>
  <c r="J34" i="17"/>
  <c r="A35" i="17"/>
  <c r="K33" i="17"/>
  <c r="K33" i="16"/>
  <c r="L33" i="16" s="1"/>
  <c r="I34" i="16"/>
  <c r="H34" i="16"/>
  <c r="J34" i="16"/>
  <c r="A35" i="16"/>
  <c r="C35" i="18" l="1"/>
  <c r="E35" i="18" s="1"/>
  <c r="A36" i="18"/>
  <c r="F34" i="18"/>
  <c r="G34" i="18"/>
  <c r="E34" i="17"/>
  <c r="G33" i="17"/>
  <c r="F33" i="17"/>
  <c r="B35" i="17"/>
  <c r="C35" i="17"/>
  <c r="D35" i="17"/>
  <c r="D42" i="20"/>
  <c r="G42" i="20" s="1"/>
  <c r="H42" i="20"/>
  <c r="K42" i="20" s="1"/>
  <c r="L44" i="20"/>
  <c r="M43" i="20"/>
  <c r="A44" i="20"/>
  <c r="B43" i="20"/>
  <c r="C43" i="20"/>
  <c r="E34" i="19"/>
  <c r="G34" i="19" s="1"/>
  <c r="F33" i="19"/>
  <c r="G33" i="19"/>
  <c r="B35" i="19"/>
  <c r="C35" i="19"/>
  <c r="D35" i="19"/>
  <c r="G33" i="16"/>
  <c r="F33" i="16"/>
  <c r="L33" i="19"/>
  <c r="M33" i="19"/>
  <c r="J35" i="19"/>
  <c r="A36" i="19"/>
  <c r="H35" i="19"/>
  <c r="I35" i="19"/>
  <c r="K34" i="19"/>
  <c r="I38" i="18"/>
  <c r="K38" i="18" s="1"/>
  <c r="L37" i="18"/>
  <c r="M37" i="18"/>
  <c r="K34" i="17"/>
  <c r="L34" i="17" s="1"/>
  <c r="D35" i="16"/>
  <c r="B35" i="16"/>
  <c r="C35" i="16"/>
  <c r="E34" i="16"/>
  <c r="L33" i="17"/>
  <c r="M33" i="17"/>
  <c r="J35" i="17"/>
  <c r="A36" i="17"/>
  <c r="H35" i="17"/>
  <c r="I35" i="17"/>
  <c r="M33" i="16"/>
  <c r="K34" i="16"/>
  <c r="J35" i="16"/>
  <c r="A36" i="16"/>
  <c r="H35" i="16"/>
  <c r="I35" i="16"/>
  <c r="C36" i="18" l="1"/>
  <c r="E36" i="18" s="1"/>
  <c r="A37" i="18"/>
  <c r="F35" i="18"/>
  <c r="G35" i="18"/>
  <c r="E35" i="17"/>
  <c r="F35" i="17" s="1"/>
  <c r="B36" i="17"/>
  <c r="C36" i="17"/>
  <c r="D36" i="17"/>
  <c r="G34" i="17"/>
  <c r="F34" i="17"/>
  <c r="M34" i="17"/>
  <c r="D43" i="20"/>
  <c r="G43" i="20" s="1"/>
  <c r="H43" i="20"/>
  <c r="K43" i="20" s="1"/>
  <c r="P43" i="20"/>
  <c r="Q43" i="20" s="1"/>
  <c r="N43" i="20"/>
  <c r="O43" i="20" s="1"/>
  <c r="L45" i="20"/>
  <c r="M44" i="20"/>
  <c r="N44" i="20" s="1"/>
  <c r="O44" i="20" s="1"/>
  <c r="A45" i="20"/>
  <c r="B44" i="20"/>
  <c r="C44" i="20"/>
  <c r="F34" i="19"/>
  <c r="E35" i="19"/>
  <c r="G35" i="19" s="1"/>
  <c r="B36" i="19"/>
  <c r="C36" i="19"/>
  <c r="D36" i="19"/>
  <c r="E35" i="16"/>
  <c r="G34" i="16"/>
  <c r="F34" i="16"/>
  <c r="I36" i="19"/>
  <c r="H36" i="19"/>
  <c r="J36" i="19"/>
  <c r="A37" i="19"/>
  <c r="M34" i="19"/>
  <c r="L34" i="19"/>
  <c r="K35" i="19"/>
  <c r="I39" i="18"/>
  <c r="K39" i="18" s="1"/>
  <c r="L38" i="18"/>
  <c r="M38" i="18"/>
  <c r="B36" i="16"/>
  <c r="C36" i="16"/>
  <c r="D36" i="16"/>
  <c r="K35" i="17"/>
  <c r="L35" i="17" s="1"/>
  <c r="I36" i="17"/>
  <c r="J36" i="17"/>
  <c r="A37" i="17"/>
  <c r="H36" i="17"/>
  <c r="K35" i="16"/>
  <c r="I36" i="16"/>
  <c r="H36" i="16"/>
  <c r="J36" i="16"/>
  <c r="A37" i="16"/>
  <c r="M34" i="16"/>
  <c r="L34" i="16"/>
  <c r="G35" i="17" l="1"/>
  <c r="C37" i="18"/>
  <c r="E37" i="18" s="1"/>
  <c r="A38" i="18"/>
  <c r="F36" i="18"/>
  <c r="G36" i="18"/>
  <c r="C37" i="17"/>
  <c r="D37" i="17"/>
  <c r="B37" i="17"/>
  <c r="E36" i="17"/>
  <c r="F35" i="19"/>
  <c r="D44" i="20"/>
  <c r="G44" i="20" s="1"/>
  <c r="H44" i="20"/>
  <c r="K44" i="20" s="1"/>
  <c r="L46" i="20"/>
  <c r="M45" i="20"/>
  <c r="A46" i="20"/>
  <c r="B45" i="20"/>
  <c r="C45" i="20"/>
  <c r="M35" i="17"/>
  <c r="C37" i="19"/>
  <c r="D37" i="19"/>
  <c r="B37" i="19"/>
  <c r="E36" i="19"/>
  <c r="K36" i="19"/>
  <c r="M36" i="19" s="1"/>
  <c r="G35" i="16"/>
  <c r="F35" i="16"/>
  <c r="J37" i="19"/>
  <c r="A38" i="19"/>
  <c r="I37" i="19"/>
  <c r="H37" i="19"/>
  <c r="L35" i="19"/>
  <c r="M35" i="19"/>
  <c r="L39" i="18"/>
  <c r="M39" i="18"/>
  <c r="I40" i="18"/>
  <c r="K40" i="18" s="1"/>
  <c r="E36" i="16"/>
  <c r="B37" i="16"/>
  <c r="C37" i="16"/>
  <c r="D37" i="16"/>
  <c r="K36" i="16"/>
  <c r="M36" i="16" s="1"/>
  <c r="J37" i="17"/>
  <c r="A38" i="17"/>
  <c r="I37" i="17"/>
  <c r="H37" i="17"/>
  <c r="K36" i="17"/>
  <c r="H37" i="16"/>
  <c r="J37" i="16"/>
  <c r="A38" i="16"/>
  <c r="I37" i="16"/>
  <c r="L35" i="16"/>
  <c r="M35" i="16"/>
  <c r="C38" i="18" l="1"/>
  <c r="E38" i="18" s="1"/>
  <c r="A39" i="18"/>
  <c r="F37" i="18"/>
  <c r="G37" i="18"/>
  <c r="E37" i="17"/>
  <c r="G37" i="17" s="1"/>
  <c r="F36" i="17"/>
  <c r="G36" i="17"/>
  <c r="D38" i="17"/>
  <c r="B38" i="17"/>
  <c r="C38" i="17"/>
  <c r="D45" i="20"/>
  <c r="G45" i="20" s="1"/>
  <c r="H45" i="20"/>
  <c r="K45" i="20" s="1"/>
  <c r="P45" i="20"/>
  <c r="Q45" i="20" s="1"/>
  <c r="N45" i="20"/>
  <c r="O45" i="20" s="1"/>
  <c r="L47" i="20"/>
  <c r="M46" i="20"/>
  <c r="N46" i="20" s="1"/>
  <c r="O46" i="20" s="1"/>
  <c r="A47" i="20"/>
  <c r="B46" i="20"/>
  <c r="C46" i="20"/>
  <c r="L36" i="19"/>
  <c r="G36" i="19"/>
  <c r="F36" i="19"/>
  <c r="E37" i="19"/>
  <c r="D38" i="19"/>
  <c r="B38" i="19"/>
  <c r="C38" i="19"/>
  <c r="G36" i="16"/>
  <c r="F36" i="16"/>
  <c r="K37" i="19"/>
  <c r="L37" i="19" s="1"/>
  <c r="H38" i="19"/>
  <c r="I38" i="19"/>
  <c r="A39" i="19"/>
  <c r="J38" i="19"/>
  <c r="I41" i="18"/>
  <c r="K41" i="18" s="1"/>
  <c r="M40" i="18"/>
  <c r="L40" i="18"/>
  <c r="E37" i="16"/>
  <c r="C38" i="16"/>
  <c r="D38" i="16"/>
  <c r="B38" i="16"/>
  <c r="L36" i="16"/>
  <c r="K37" i="17"/>
  <c r="L37" i="17" s="1"/>
  <c r="K37" i="16"/>
  <c r="L37" i="16" s="1"/>
  <c r="L36" i="17"/>
  <c r="M36" i="17"/>
  <c r="H38" i="17"/>
  <c r="I38" i="17"/>
  <c r="J38" i="17"/>
  <c r="A39" i="17"/>
  <c r="J38" i="16"/>
  <c r="A39" i="16"/>
  <c r="H38" i="16"/>
  <c r="I38" i="16"/>
  <c r="C39" i="18" l="1"/>
  <c r="E39" i="18" s="1"/>
  <c r="A40" i="18"/>
  <c r="F38" i="18"/>
  <c r="G38" i="18"/>
  <c r="F37" i="17"/>
  <c r="E38" i="17"/>
  <c r="B39" i="17"/>
  <c r="C39" i="17"/>
  <c r="D39" i="17"/>
  <c r="D46" i="20"/>
  <c r="G46" i="20" s="1"/>
  <c r="H46" i="20"/>
  <c r="K46" i="20" s="1"/>
  <c r="L48" i="20"/>
  <c r="M47" i="20"/>
  <c r="A48" i="20"/>
  <c r="B47" i="20"/>
  <c r="C47" i="20"/>
  <c r="E38" i="19"/>
  <c r="F37" i="19"/>
  <c r="G37" i="19"/>
  <c r="B39" i="19"/>
  <c r="C39" i="19"/>
  <c r="D39" i="19"/>
  <c r="M37" i="19"/>
  <c r="G37" i="16"/>
  <c r="F37" i="16"/>
  <c r="J39" i="19"/>
  <c r="A40" i="19"/>
  <c r="H39" i="19"/>
  <c r="I39" i="19"/>
  <c r="K38" i="19"/>
  <c r="I42" i="18"/>
  <c r="K42" i="18" s="1"/>
  <c r="L41" i="18"/>
  <c r="M41" i="18"/>
  <c r="E38" i="16"/>
  <c r="D39" i="16"/>
  <c r="B39" i="16"/>
  <c r="C39" i="16"/>
  <c r="M37" i="16"/>
  <c r="M37" i="17"/>
  <c r="J39" i="17"/>
  <c r="A40" i="17"/>
  <c r="H39" i="17"/>
  <c r="I39" i="17"/>
  <c r="K38" i="17"/>
  <c r="K38" i="16"/>
  <c r="I39" i="16"/>
  <c r="J39" i="16"/>
  <c r="A40" i="16"/>
  <c r="H39" i="16"/>
  <c r="F39" i="18" l="1"/>
  <c r="G39" i="18"/>
  <c r="C40" i="18"/>
  <c r="E40" i="18" s="1"/>
  <c r="A41" i="18"/>
  <c r="E39" i="17"/>
  <c r="B40" i="17"/>
  <c r="C40" i="17"/>
  <c r="D40" i="17"/>
  <c r="G38" i="17"/>
  <c r="F38" i="17"/>
  <c r="D47" i="20"/>
  <c r="G47" i="20" s="1"/>
  <c r="H47" i="20"/>
  <c r="K47" i="20" s="1"/>
  <c r="P47" i="20"/>
  <c r="Q47" i="20" s="1"/>
  <c r="N47" i="20"/>
  <c r="O47" i="20" s="1"/>
  <c r="L49" i="20"/>
  <c r="M48" i="20"/>
  <c r="N48" i="20" s="1"/>
  <c r="O48" i="20" s="1"/>
  <c r="A49" i="20"/>
  <c r="B48" i="20"/>
  <c r="C48" i="20"/>
  <c r="B40" i="19"/>
  <c r="C40" i="19"/>
  <c r="D40" i="19"/>
  <c r="E39" i="19"/>
  <c r="G38" i="19"/>
  <c r="F38" i="19"/>
  <c r="G38" i="16"/>
  <c r="F38" i="16"/>
  <c r="L38" i="19"/>
  <c r="M38" i="19"/>
  <c r="K39" i="19"/>
  <c r="I40" i="19"/>
  <c r="J40" i="19"/>
  <c r="A41" i="19"/>
  <c r="H40" i="19"/>
  <c r="I43" i="18"/>
  <c r="K43" i="18" s="1"/>
  <c r="L42" i="18"/>
  <c r="M42" i="18"/>
  <c r="B40" i="16"/>
  <c r="C40" i="16"/>
  <c r="D40" i="16"/>
  <c r="E39" i="16"/>
  <c r="K39" i="16"/>
  <c r="L39" i="16" s="1"/>
  <c r="K39" i="17"/>
  <c r="L39" i="17" s="1"/>
  <c r="L38" i="17"/>
  <c r="M38" i="17"/>
  <c r="I40" i="17"/>
  <c r="J40" i="17"/>
  <c r="A41" i="17"/>
  <c r="H40" i="17"/>
  <c r="H40" i="16"/>
  <c r="I40" i="16"/>
  <c r="J40" i="16"/>
  <c r="A41" i="16"/>
  <c r="L38" i="16"/>
  <c r="M38" i="16"/>
  <c r="C41" i="18" l="1"/>
  <c r="E41" i="18" s="1"/>
  <c r="A42" i="18"/>
  <c r="F40" i="18"/>
  <c r="G40" i="18"/>
  <c r="E40" i="17"/>
  <c r="C41" i="17"/>
  <c r="D41" i="17"/>
  <c r="B41" i="17"/>
  <c r="F39" i="17"/>
  <c r="G39" i="17"/>
  <c r="D48" i="20"/>
  <c r="G48" i="20" s="1"/>
  <c r="H48" i="20"/>
  <c r="K48" i="20" s="1"/>
  <c r="L50" i="20"/>
  <c r="M49" i="20"/>
  <c r="A50" i="20"/>
  <c r="B49" i="20"/>
  <c r="C49" i="20"/>
  <c r="F39" i="19"/>
  <c r="G39" i="19"/>
  <c r="E40" i="19"/>
  <c r="C41" i="19"/>
  <c r="D41" i="19"/>
  <c r="B41" i="19"/>
  <c r="G39" i="16"/>
  <c r="F39" i="16"/>
  <c r="K40" i="19"/>
  <c r="L39" i="19"/>
  <c r="M39" i="19"/>
  <c r="H41" i="19"/>
  <c r="I41" i="19"/>
  <c r="J41" i="19"/>
  <c r="A42" i="19"/>
  <c r="L43" i="18"/>
  <c r="M43" i="18"/>
  <c r="I44" i="18"/>
  <c r="K44" i="18" s="1"/>
  <c r="B41" i="16"/>
  <c r="C41" i="16"/>
  <c r="D41" i="16"/>
  <c r="E40" i="16"/>
  <c r="M39" i="16"/>
  <c r="K40" i="16"/>
  <c r="L40" i="16" s="1"/>
  <c r="M39" i="17"/>
  <c r="H41" i="17"/>
  <c r="I41" i="17"/>
  <c r="J41" i="17"/>
  <c r="A42" i="17"/>
  <c r="K40" i="17"/>
  <c r="H41" i="16"/>
  <c r="I41" i="16"/>
  <c r="J41" i="16"/>
  <c r="A42" i="16"/>
  <c r="C42" i="18" l="1"/>
  <c r="E42" i="18" s="1"/>
  <c r="A43" i="18"/>
  <c r="F41" i="18"/>
  <c r="G41" i="18"/>
  <c r="E41" i="17"/>
  <c r="G41" i="17" s="1"/>
  <c r="D42" i="17"/>
  <c r="B42" i="17"/>
  <c r="C42" i="17"/>
  <c r="F40" i="17"/>
  <c r="G40" i="17"/>
  <c r="D49" i="20"/>
  <c r="G49" i="20" s="1"/>
  <c r="H49" i="20"/>
  <c r="K49" i="20" s="1"/>
  <c r="P49" i="20"/>
  <c r="Q49" i="20" s="1"/>
  <c r="N49" i="20"/>
  <c r="O49" i="20" s="1"/>
  <c r="L51" i="20"/>
  <c r="M50" i="20"/>
  <c r="N50" i="20" s="1"/>
  <c r="O50" i="20" s="1"/>
  <c r="A51" i="20"/>
  <c r="B50" i="20"/>
  <c r="C50" i="20"/>
  <c r="D42" i="19"/>
  <c r="B42" i="19"/>
  <c r="C42" i="19"/>
  <c r="G40" i="19"/>
  <c r="F40" i="19"/>
  <c r="E41" i="19"/>
  <c r="G40" i="16"/>
  <c r="F40" i="16"/>
  <c r="E41" i="16"/>
  <c r="H42" i="19"/>
  <c r="I42" i="19"/>
  <c r="J42" i="19"/>
  <c r="A43" i="19"/>
  <c r="M40" i="19"/>
  <c r="L40" i="19"/>
  <c r="K41" i="19"/>
  <c r="I45" i="18"/>
  <c r="K45" i="18" s="1"/>
  <c r="M44" i="18"/>
  <c r="L44" i="18"/>
  <c r="C42" i="16"/>
  <c r="D42" i="16"/>
  <c r="B42" i="16"/>
  <c r="M40" i="16"/>
  <c r="K41" i="16"/>
  <c r="M41" i="16" s="1"/>
  <c r="H42" i="17"/>
  <c r="I42" i="17"/>
  <c r="J42" i="17"/>
  <c r="A43" i="17"/>
  <c r="K41" i="17"/>
  <c r="M40" i="17"/>
  <c r="L40" i="17"/>
  <c r="J42" i="16"/>
  <c r="A43" i="16"/>
  <c r="H42" i="16"/>
  <c r="I42" i="16"/>
  <c r="C43" i="18" l="1"/>
  <c r="E43" i="18" s="1"/>
  <c r="A44" i="18"/>
  <c r="F42" i="18"/>
  <c r="G42" i="18"/>
  <c r="L41" i="16"/>
  <c r="F41" i="17"/>
  <c r="E42" i="17"/>
  <c r="G42" i="17" s="1"/>
  <c r="B43" i="17"/>
  <c r="C43" i="17"/>
  <c r="D43" i="17"/>
  <c r="D50" i="20"/>
  <c r="G50" i="20" s="1"/>
  <c r="H50" i="20"/>
  <c r="K50" i="20" s="1"/>
  <c r="L52" i="20"/>
  <c r="M51" i="20"/>
  <c r="A52" i="20"/>
  <c r="B51" i="20"/>
  <c r="C51" i="20"/>
  <c r="F41" i="19"/>
  <c r="G41" i="19"/>
  <c r="B43" i="19"/>
  <c r="C43" i="19"/>
  <c r="D43" i="19"/>
  <c r="E42" i="19"/>
  <c r="G41" i="16"/>
  <c r="F41" i="16"/>
  <c r="J43" i="19"/>
  <c r="A44" i="19"/>
  <c r="H43" i="19"/>
  <c r="I43" i="19"/>
  <c r="L41" i="19"/>
  <c r="M41" i="19"/>
  <c r="K42" i="19"/>
  <c r="I46" i="18"/>
  <c r="K46" i="18" s="1"/>
  <c r="L45" i="18"/>
  <c r="M45" i="18"/>
  <c r="E42" i="16"/>
  <c r="D43" i="16"/>
  <c r="B43" i="16"/>
  <c r="C43" i="16"/>
  <c r="K42" i="16"/>
  <c r="M42" i="16" s="1"/>
  <c r="J43" i="17"/>
  <c r="A44" i="17"/>
  <c r="H43" i="17"/>
  <c r="I43" i="17"/>
  <c r="K42" i="17"/>
  <c r="L41" i="17"/>
  <c r="M41" i="17"/>
  <c r="I43" i="16"/>
  <c r="J43" i="16"/>
  <c r="A44" i="16"/>
  <c r="H43" i="16"/>
  <c r="C44" i="18" l="1"/>
  <c r="E44" i="18" s="1"/>
  <c r="A45" i="18"/>
  <c r="F43" i="18"/>
  <c r="G43" i="18"/>
  <c r="F42" i="17"/>
  <c r="E43" i="17"/>
  <c r="B44" i="17"/>
  <c r="C44" i="17"/>
  <c r="D44" i="17"/>
  <c r="D51" i="20"/>
  <c r="G51" i="20" s="1"/>
  <c r="H51" i="20"/>
  <c r="K51" i="20" s="1"/>
  <c r="P51" i="20"/>
  <c r="Q51" i="20" s="1"/>
  <c r="N51" i="20"/>
  <c r="O51" i="20" s="1"/>
  <c r="L53" i="20"/>
  <c r="M52" i="20"/>
  <c r="N52" i="20" s="1"/>
  <c r="O52" i="20" s="1"/>
  <c r="A53" i="20"/>
  <c r="B52" i="20"/>
  <c r="C52" i="20"/>
  <c r="E43" i="19"/>
  <c r="F43" i="19" s="1"/>
  <c r="B44" i="19"/>
  <c r="C44" i="19"/>
  <c r="D44" i="19"/>
  <c r="G42" i="19"/>
  <c r="F42" i="19"/>
  <c r="G42" i="16"/>
  <c r="F42" i="16"/>
  <c r="L42" i="19"/>
  <c r="M42" i="19"/>
  <c r="I44" i="19"/>
  <c r="J44" i="19"/>
  <c r="A45" i="19"/>
  <c r="H44" i="19"/>
  <c r="K43" i="19"/>
  <c r="I47" i="18"/>
  <c r="K47" i="18" s="1"/>
  <c r="L46" i="18"/>
  <c r="M46" i="18"/>
  <c r="B44" i="16"/>
  <c r="C44" i="16"/>
  <c r="D44" i="16"/>
  <c r="E43" i="16"/>
  <c r="L42" i="16"/>
  <c r="I44" i="17"/>
  <c r="J44" i="17"/>
  <c r="A45" i="17"/>
  <c r="H44" i="17"/>
  <c r="L42" i="17"/>
  <c r="M42" i="17"/>
  <c r="K43" i="17"/>
  <c r="K43" i="16"/>
  <c r="H44" i="16"/>
  <c r="I44" i="16"/>
  <c r="J44" i="16"/>
  <c r="A45" i="16"/>
  <c r="C45" i="18" l="1"/>
  <c r="E45" i="18" s="1"/>
  <c r="A46" i="18"/>
  <c r="F44" i="18"/>
  <c r="G44" i="18"/>
  <c r="C45" i="17"/>
  <c r="D45" i="17"/>
  <c r="B45" i="17"/>
  <c r="E44" i="17"/>
  <c r="F43" i="17"/>
  <c r="G43" i="17"/>
  <c r="D52" i="20"/>
  <c r="G52" i="20" s="1"/>
  <c r="H52" i="20"/>
  <c r="K52" i="20" s="1"/>
  <c r="L54" i="20"/>
  <c r="M53" i="20"/>
  <c r="A54" i="20"/>
  <c r="B53" i="20"/>
  <c r="C53" i="20"/>
  <c r="G43" i="19"/>
  <c r="E44" i="19"/>
  <c r="C45" i="19"/>
  <c r="D45" i="19"/>
  <c r="B45" i="19"/>
  <c r="G43" i="16"/>
  <c r="F43" i="16"/>
  <c r="E44" i="16"/>
  <c r="K44" i="19"/>
  <c r="L43" i="19"/>
  <c r="M43" i="19"/>
  <c r="H45" i="19"/>
  <c r="I45" i="19"/>
  <c r="J45" i="19"/>
  <c r="A46" i="19"/>
  <c r="L47" i="18"/>
  <c r="M47" i="18"/>
  <c r="I48" i="18"/>
  <c r="K48" i="18" s="1"/>
  <c r="B45" i="16"/>
  <c r="C45" i="16"/>
  <c r="D45" i="16"/>
  <c r="L43" i="17"/>
  <c r="M43" i="17"/>
  <c r="H45" i="17"/>
  <c r="I45" i="17"/>
  <c r="J45" i="17"/>
  <c r="A46" i="17"/>
  <c r="K44" i="17"/>
  <c r="K44" i="16"/>
  <c r="H45" i="16"/>
  <c r="I45" i="16"/>
  <c r="J45" i="16"/>
  <c r="A46" i="16"/>
  <c r="M43" i="16"/>
  <c r="L43" i="16"/>
  <c r="F45" i="18" l="1"/>
  <c r="G45" i="18"/>
  <c r="C46" i="18"/>
  <c r="E46" i="18" s="1"/>
  <c r="A47" i="18"/>
  <c r="E45" i="17"/>
  <c r="F45" i="17" s="1"/>
  <c r="F44" i="17"/>
  <c r="G44" i="17"/>
  <c r="D46" i="17"/>
  <c r="B46" i="17"/>
  <c r="C46" i="17"/>
  <c r="D53" i="20"/>
  <c r="G53" i="20" s="1"/>
  <c r="H53" i="20"/>
  <c r="K53" i="20" s="1"/>
  <c r="P53" i="20"/>
  <c r="Q53" i="20" s="1"/>
  <c r="N53" i="20"/>
  <c r="O53" i="20" s="1"/>
  <c r="L55" i="20"/>
  <c r="M54" i="20"/>
  <c r="N54" i="20" s="1"/>
  <c r="O54" i="20" s="1"/>
  <c r="A55" i="20"/>
  <c r="B54" i="20"/>
  <c r="C54" i="20"/>
  <c r="E45" i="19"/>
  <c r="D46" i="19"/>
  <c r="B46" i="19"/>
  <c r="C46" i="19"/>
  <c r="K45" i="19"/>
  <c r="M45" i="19" s="1"/>
  <c r="G44" i="19"/>
  <c r="F44" i="19"/>
  <c r="E45" i="16"/>
  <c r="G44" i="16"/>
  <c r="F44" i="16"/>
  <c r="H46" i="19"/>
  <c r="I46" i="19"/>
  <c r="A47" i="19"/>
  <c r="J46" i="19"/>
  <c r="M44" i="19"/>
  <c r="L44" i="19"/>
  <c r="I49" i="18"/>
  <c r="K49" i="18" s="1"/>
  <c r="M48" i="18"/>
  <c r="L48" i="18"/>
  <c r="K45" i="17"/>
  <c r="M45" i="17" s="1"/>
  <c r="C46" i="16"/>
  <c r="D46" i="16"/>
  <c r="B46" i="16"/>
  <c r="M44" i="17"/>
  <c r="L44" i="17"/>
  <c r="H46" i="17"/>
  <c r="I46" i="17"/>
  <c r="J46" i="17"/>
  <c r="A47" i="17"/>
  <c r="J46" i="16"/>
  <c r="A47" i="16"/>
  <c r="H46" i="16"/>
  <c r="I46" i="16"/>
  <c r="K45" i="16"/>
  <c r="L44" i="16"/>
  <c r="M44" i="16"/>
  <c r="C47" i="18" l="1"/>
  <c r="E47" i="18" s="1"/>
  <c r="A48" i="18"/>
  <c r="F46" i="18"/>
  <c r="G46" i="18"/>
  <c r="G45" i="17"/>
  <c r="E46" i="17"/>
  <c r="B47" i="17"/>
  <c r="C47" i="17"/>
  <c r="D47" i="17"/>
  <c r="L45" i="19"/>
  <c r="D54" i="20"/>
  <c r="G54" i="20" s="1"/>
  <c r="H54" i="20"/>
  <c r="K54" i="20" s="1"/>
  <c r="L45" i="17"/>
  <c r="L56" i="20"/>
  <c r="M55" i="20"/>
  <c r="A56" i="20"/>
  <c r="B55" i="20"/>
  <c r="C55" i="20"/>
  <c r="K46" i="19"/>
  <c r="L46" i="19" s="1"/>
  <c r="E46" i="19"/>
  <c r="B47" i="19"/>
  <c r="C47" i="19"/>
  <c r="D47" i="19"/>
  <c r="F45" i="19"/>
  <c r="G45" i="19"/>
  <c r="G45" i="16"/>
  <c r="F45" i="16"/>
  <c r="J47" i="19"/>
  <c r="A48" i="19"/>
  <c r="H47" i="19"/>
  <c r="I47" i="19"/>
  <c r="I50" i="18"/>
  <c r="K50" i="18" s="1"/>
  <c r="L49" i="18"/>
  <c r="M49" i="18"/>
  <c r="E46" i="16"/>
  <c r="D47" i="16"/>
  <c r="B47" i="16"/>
  <c r="C47" i="16"/>
  <c r="K46" i="16"/>
  <c r="L46" i="16" s="1"/>
  <c r="J47" i="17"/>
  <c r="A48" i="17"/>
  <c r="H47" i="17"/>
  <c r="I47" i="17"/>
  <c r="K46" i="17"/>
  <c r="I47" i="16"/>
  <c r="J47" i="16"/>
  <c r="A48" i="16"/>
  <c r="H47" i="16"/>
  <c r="L45" i="16"/>
  <c r="M45" i="16"/>
  <c r="G47" i="18" l="1"/>
  <c r="F47" i="18"/>
  <c r="C48" i="18"/>
  <c r="E48" i="18" s="1"/>
  <c r="A49" i="18"/>
  <c r="B48" i="17"/>
  <c r="C48" i="17"/>
  <c r="D48" i="17"/>
  <c r="F46" i="17"/>
  <c r="G46" i="17"/>
  <c r="E47" i="17"/>
  <c r="D55" i="20"/>
  <c r="G55" i="20" s="1"/>
  <c r="H55" i="20"/>
  <c r="K55" i="20" s="1"/>
  <c r="M46" i="19"/>
  <c r="L57" i="20"/>
  <c r="M56" i="20"/>
  <c r="N56" i="20" s="1"/>
  <c r="O56" i="20" s="1"/>
  <c r="P55" i="20"/>
  <c r="Q55" i="20" s="1"/>
  <c r="N55" i="20"/>
  <c r="O55" i="20" s="1"/>
  <c r="A57" i="20"/>
  <c r="B56" i="20"/>
  <c r="C56" i="20"/>
  <c r="B48" i="19"/>
  <c r="C48" i="19"/>
  <c r="D48" i="19"/>
  <c r="E47" i="19"/>
  <c r="G46" i="19"/>
  <c r="F46" i="19"/>
  <c r="G46" i="16"/>
  <c r="F46" i="16"/>
  <c r="I48" i="19"/>
  <c r="J48" i="19"/>
  <c r="A49" i="19"/>
  <c r="H48" i="19"/>
  <c r="K47" i="19"/>
  <c r="I51" i="18"/>
  <c r="K51" i="18" s="1"/>
  <c r="L50" i="18"/>
  <c r="M50" i="18"/>
  <c r="B48" i="16"/>
  <c r="C48" i="16"/>
  <c r="D48" i="16"/>
  <c r="E47" i="16"/>
  <c r="M46" i="16"/>
  <c r="K47" i="17"/>
  <c r="L47" i="17" s="1"/>
  <c r="L46" i="17"/>
  <c r="M46" i="17"/>
  <c r="I48" i="17"/>
  <c r="J48" i="17"/>
  <c r="A49" i="17"/>
  <c r="H48" i="17"/>
  <c r="K47" i="16"/>
  <c r="H48" i="16"/>
  <c r="I48" i="16"/>
  <c r="J48" i="16"/>
  <c r="A49" i="16"/>
  <c r="C49" i="18" l="1"/>
  <c r="E49" i="18" s="1"/>
  <c r="A50" i="18"/>
  <c r="F48" i="18"/>
  <c r="G48" i="18"/>
  <c r="C49" i="17"/>
  <c r="D49" i="17"/>
  <c r="B49" i="17"/>
  <c r="E48" i="17"/>
  <c r="F47" i="17"/>
  <c r="G47" i="17"/>
  <c r="D56" i="20"/>
  <c r="G56" i="20" s="1"/>
  <c r="H56" i="20"/>
  <c r="K56" i="20" s="1"/>
  <c r="E48" i="19"/>
  <c r="F48" i="19" s="1"/>
  <c r="L58" i="20"/>
  <c r="M57" i="20"/>
  <c r="A58" i="20"/>
  <c r="B57" i="20"/>
  <c r="C57" i="20"/>
  <c r="F47" i="19"/>
  <c r="G47" i="19"/>
  <c r="B49" i="19"/>
  <c r="C49" i="19"/>
  <c r="D49" i="19"/>
  <c r="E48" i="16"/>
  <c r="G47" i="16"/>
  <c r="F47" i="16"/>
  <c r="H49" i="19"/>
  <c r="I49" i="19"/>
  <c r="J49" i="19"/>
  <c r="A50" i="19"/>
  <c r="K48" i="19"/>
  <c r="L47" i="19"/>
  <c r="M47" i="19"/>
  <c r="L51" i="18"/>
  <c r="M51" i="18"/>
  <c r="I52" i="18"/>
  <c r="K52" i="18" s="1"/>
  <c r="B49" i="16"/>
  <c r="C49" i="16"/>
  <c r="D49" i="16"/>
  <c r="M47" i="17"/>
  <c r="H49" i="17"/>
  <c r="I49" i="17"/>
  <c r="J49" i="17"/>
  <c r="A50" i="17"/>
  <c r="K48" i="17"/>
  <c r="K48" i="16"/>
  <c r="H49" i="16"/>
  <c r="I49" i="16"/>
  <c r="J49" i="16"/>
  <c r="A50" i="16"/>
  <c r="M47" i="16"/>
  <c r="L47" i="16"/>
  <c r="C50" i="18" l="1"/>
  <c r="E50" i="18" s="1"/>
  <c r="A51" i="18"/>
  <c r="F49" i="18"/>
  <c r="G49" i="18"/>
  <c r="D50" i="17"/>
  <c r="B50" i="17"/>
  <c r="C50" i="17"/>
  <c r="F48" i="17"/>
  <c r="G48" i="17"/>
  <c r="E49" i="17"/>
  <c r="G48" i="19"/>
  <c r="E49" i="19"/>
  <c r="F49" i="19" s="1"/>
  <c r="D57" i="20"/>
  <c r="G57" i="20" s="1"/>
  <c r="H57" i="20"/>
  <c r="K57" i="20" s="1"/>
  <c r="L59" i="20"/>
  <c r="M58" i="20"/>
  <c r="N58" i="20" s="1"/>
  <c r="O58" i="20" s="1"/>
  <c r="P57" i="20"/>
  <c r="Q57" i="20" s="1"/>
  <c r="N57" i="20"/>
  <c r="O57" i="20" s="1"/>
  <c r="A59" i="20"/>
  <c r="B58" i="20"/>
  <c r="C58" i="20"/>
  <c r="C50" i="19"/>
  <c r="D50" i="19"/>
  <c r="B50" i="19"/>
  <c r="K49" i="19"/>
  <c r="L49" i="19" s="1"/>
  <c r="G48" i="16"/>
  <c r="F48" i="16"/>
  <c r="H50" i="19"/>
  <c r="I50" i="19"/>
  <c r="J50" i="19"/>
  <c r="A51" i="19"/>
  <c r="M48" i="19"/>
  <c r="L48" i="19"/>
  <c r="I53" i="18"/>
  <c r="K53" i="18" s="1"/>
  <c r="M52" i="18"/>
  <c r="L52" i="18"/>
  <c r="E49" i="16"/>
  <c r="C50" i="16"/>
  <c r="D50" i="16"/>
  <c r="B50" i="16"/>
  <c r="K49" i="17"/>
  <c r="L49" i="17" s="1"/>
  <c r="M48" i="17"/>
  <c r="L48" i="17"/>
  <c r="H50" i="17"/>
  <c r="I50" i="17"/>
  <c r="J50" i="17"/>
  <c r="A51" i="17"/>
  <c r="K49" i="16"/>
  <c r="J50" i="16"/>
  <c r="A51" i="16"/>
  <c r="H50" i="16"/>
  <c r="I50" i="16"/>
  <c r="L48" i="16"/>
  <c r="M48" i="16"/>
  <c r="C51" i="18" l="1"/>
  <c r="E51" i="18" s="1"/>
  <c r="A52" i="18"/>
  <c r="F50" i="18"/>
  <c r="G50" i="18"/>
  <c r="E50" i="17"/>
  <c r="B51" i="17"/>
  <c r="C51" i="17"/>
  <c r="D51" i="17"/>
  <c r="G49" i="17"/>
  <c r="F49" i="17"/>
  <c r="G49" i="19"/>
  <c r="D58" i="20"/>
  <c r="G58" i="20" s="1"/>
  <c r="H58" i="20"/>
  <c r="K58" i="20" s="1"/>
  <c r="L60" i="20"/>
  <c r="M59" i="20"/>
  <c r="A60" i="20"/>
  <c r="B59" i="20"/>
  <c r="C59" i="20"/>
  <c r="E50" i="19"/>
  <c r="F50" i="19" s="1"/>
  <c r="D51" i="19"/>
  <c r="B51" i="19"/>
  <c r="C51" i="19"/>
  <c r="M49" i="19"/>
  <c r="G49" i="16"/>
  <c r="F49" i="16"/>
  <c r="J51" i="19"/>
  <c r="A52" i="19"/>
  <c r="H51" i="19"/>
  <c r="I51" i="19"/>
  <c r="K50" i="19"/>
  <c r="I54" i="18"/>
  <c r="K54" i="18" s="1"/>
  <c r="M53" i="18"/>
  <c r="L53" i="18"/>
  <c r="M49" i="17"/>
  <c r="E50" i="16"/>
  <c r="D51" i="16"/>
  <c r="B51" i="16"/>
  <c r="C51" i="16"/>
  <c r="K50" i="17"/>
  <c r="L50" i="17" s="1"/>
  <c r="J51" i="17"/>
  <c r="A52" i="17"/>
  <c r="H51" i="17"/>
  <c r="I51" i="17"/>
  <c r="K50" i="16"/>
  <c r="I51" i="16"/>
  <c r="J51" i="16"/>
  <c r="A52" i="16"/>
  <c r="H51" i="16"/>
  <c r="L49" i="16"/>
  <c r="M49" i="16"/>
  <c r="C52" i="18" l="1"/>
  <c r="E52" i="18" s="1"/>
  <c r="A53" i="18"/>
  <c r="F51" i="18"/>
  <c r="G51" i="18"/>
  <c r="G50" i="17"/>
  <c r="F50" i="17"/>
  <c r="E51" i="17"/>
  <c r="B52" i="17"/>
  <c r="C52" i="17"/>
  <c r="D52" i="17"/>
  <c r="G50" i="19"/>
  <c r="D59" i="20"/>
  <c r="G59" i="20" s="1"/>
  <c r="H59" i="20"/>
  <c r="K59" i="20" s="1"/>
  <c r="P59" i="20"/>
  <c r="Q59" i="20" s="1"/>
  <c r="N59" i="20"/>
  <c r="O59" i="20" s="1"/>
  <c r="L61" i="20"/>
  <c r="M60" i="20"/>
  <c r="N60" i="20" s="1"/>
  <c r="O60" i="20" s="1"/>
  <c r="A61" i="20"/>
  <c r="B60" i="20"/>
  <c r="C60" i="20"/>
  <c r="B52" i="19"/>
  <c r="C52" i="19"/>
  <c r="D52" i="19"/>
  <c r="E51" i="19"/>
  <c r="G50" i="16"/>
  <c r="F50" i="16"/>
  <c r="I52" i="19"/>
  <c r="J52" i="19"/>
  <c r="A53" i="19"/>
  <c r="H52" i="19"/>
  <c r="L50" i="19"/>
  <c r="M50" i="19"/>
  <c r="K51" i="19"/>
  <c r="I55" i="18"/>
  <c r="K55" i="18" s="1"/>
  <c r="L54" i="18"/>
  <c r="M54" i="18"/>
  <c r="E51" i="16"/>
  <c r="B52" i="16"/>
  <c r="C52" i="16"/>
  <c r="D52" i="16"/>
  <c r="M50" i="17"/>
  <c r="K51" i="16"/>
  <c r="L51" i="16" s="1"/>
  <c r="K51" i="17"/>
  <c r="I52" i="17"/>
  <c r="J52" i="17"/>
  <c r="A53" i="17"/>
  <c r="H52" i="17"/>
  <c r="H52" i="16"/>
  <c r="I52" i="16"/>
  <c r="J52" i="16"/>
  <c r="A53" i="16"/>
  <c r="L50" i="16"/>
  <c r="M50" i="16"/>
  <c r="C53" i="18" l="1"/>
  <c r="E53" i="18" s="1"/>
  <c r="A54" i="18"/>
  <c r="F52" i="18"/>
  <c r="G52" i="18"/>
  <c r="C53" i="17"/>
  <c r="D53" i="17"/>
  <c r="B53" i="17"/>
  <c r="F51" i="17"/>
  <c r="G51" i="17"/>
  <c r="E52" i="17"/>
  <c r="D60" i="20"/>
  <c r="G60" i="20" s="1"/>
  <c r="H60" i="20"/>
  <c r="K60" i="20" s="1"/>
  <c r="L62" i="20"/>
  <c r="M61" i="20"/>
  <c r="A62" i="20"/>
  <c r="B61" i="20"/>
  <c r="C61" i="20"/>
  <c r="F51" i="19"/>
  <c r="G51" i="19"/>
  <c r="E52" i="19"/>
  <c r="B53" i="19"/>
  <c r="C53" i="19"/>
  <c r="D53" i="19"/>
  <c r="G51" i="16"/>
  <c r="F51" i="16"/>
  <c r="L51" i="19"/>
  <c r="M51" i="19"/>
  <c r="H53" i="19"/>
  <c r="I53" i="19"/>
  <c r="J53" i="19"/>
  <c r="A54" i="19"/>
  <c r="K52" i="19"/>
  <c r="I56" i="18"/>
  <c r="K56" i="18" s="1"/>
  <c r="L55" i="18"/>
  <c r="M55" i="18"/>
  <c r="E52" i="16"/>
  <c r="B53" i="16"/>
  <c r="C53" i="16"/>
  <c r="D53" i="16"/>
  <c r="M51" i="16"/>
  <c r="L51" i="17"/>
  <c r="M51" i="17"/>
  <c r="H53" i="17"/>
  <c r="I53" i="17"/>
  <c r="J53" i="17"/>
  <c r="A54" i="17"/>
  <c r="K52" i="17"/>
  <c r="K52" i="16"/>
  <c r="L52" i="16" s="1"/>
  <c r="H53" i="16"/>
  <c r="I53" i="16"/>
  <c r="J53" i="16"/>
  <c r="A54" i="16"/>
  <c r="F53" i="18" l="1"/>
  <c r="G53" i="18"/>
  <c r="C54" i="18"/>
  <c r="E54" i="18" s="1"/>
  <c r="A55" i="18"/>
  <c r="D54" i="17"/>
  <c r="B54" i="17"/>
  <c r="C54" i="17"/>
  <c r="G52" i="17"/>
  <c r="F52" i="17"/>
  <c r="E53" i="17"/>
  <c r="D61" i="20"/>
  <c r="G61" i="20" s="1"/>
  <c r="H61" i="20"/>
  <c r="K61" i="20" s="1"/>
  <c r="K53" i="19"/>
  <c r="M53" i="19" s="1"/>
  <c r="P61" i="20"/>
  <c r="Q61" i="20" s="1"/>
  <c r="N61" i="20"/>
  <c r="O61" i="20" s="1"/>
  <c r="L63" i="20"/>
  <c r="M62" i="20"/>
  <c r="N62" i="20" s="1"/>
  <c r="O62" i="20" s="1"/>
  <c r="A63" i="20"/>
  <c r="B62" i="20"/>
  <c r="C62" i="20"/>
  <c r="E53" i="19"/>
  <c r="F53" i="19" s="1"/>
  <c r="C54" i="19"/>
  <c r="D54" i="19"/>
  <c r="B54" i="19"/>
  <c r="F52" i="19"/>
  <c r="G52" i="19"/>
  <c r="G52" i="16"/>
  <c r="F52" i="16"/>
  <c r="M52" i="19"/>
  <c r="L52" i="19"/>
  <c r="H54" i="19"/>
  <c r="I54" i="19"/>
  <c r="A55" i="19"/>
  <c r="J54" i="19"/>
  <c r="L56" i="18"/>
  <c r="M56" i="18"/>
  <c r="I57" i="18"/>
  <c r="K57" i="18" s="1"/>
  <c r="E53" i="16"/>
  <c r="G53" i="16" s="1"/>
  <c r="C54" i="16"/>
  <c r="D54" i="16"/>
  <c r="B54" i="16"/>
  <c r="K53" i="17"/>
  <c r="L53" i="17" s="1"/>
  <c r="M52" i="16"/>
  <c r="M52" i="17"/>
  <c r="L52" i="17"/>
  <c r="H54" i="17"/>
  <c r="I54" i="17"/>
  <c r="J54" i="17"/>
  <c r="A55" i="17"/>
  <c r="K53" i="16"/>
  <c r="L53" i="16" s="1"/>
  <c r="J54" i="16"/>
  <c r="A55" i="16"/>
  <c r="H54" i="16"/>
  <c r="I54" i="16"/>
  <c r="C55" i="18" l="1"/>
  <c r="E55" i="18" s="1"/>
  <c r="A56" i="18"/>
  <c r="F54" i="18"/>
  <c r="G54" i="18"/>
  <c r="E54" i="17"/>
  <c r="B55" i="17"/>
  <c r="C55" i="17"/>
  <c r="D55" i="17"/>
  <c r="G53" i="17"/>
  <c r="F53" i="17"/>
  <c r="L53" i="19"/>
  <c r="D62" i="20"/>
  <c r="G62" i="20" s="1"/>
  <c r="H62" i="20"/>
  <c r="K62" i="20" s="1"/>
  <c r="L64" i="20"/>
  <c r="M63" i="20"/>
  <c r="A64" i="20"/>
  <c r="C63" i="20"/>
  <c r="B63" i="20"/>
  <c r="G53" i="19"/>
  <c r="E54" i="19"/>
  <c r="D55" i="19"/>
  <c r="B55" i="19"/>
  <c r="C55" i="19"/>
  <c r="F53" i="16"/>
  <c r="K54" i="19"/>
  <c r="M54" i="19" s="1"/>
  <c r="J55" i="19"/>
  <c r="A56" i="19"/>
  <c r="H55" i="19"/>
  <c r="I55" i="19"/>
  <c r="I58" i="18"/>
  <c r="K58" i="18" s="1"/>
  <c r="M57" i="18"/>
  <c r="L57" i="18"/>
  <c r="E54" i="16"/>
  <c r="D55" i="16"/>
  <c r="B55" i="16"/>
  <c r="C55" i="16"/>
  <c r="M53" i="17"/>
  <c r="J55" i="17"/>
  <c r="A56" i="17"/>
  <c r="H55" i="17"/>
  <c r="I55" i="17"/>
  <c r="K54" i="17"/>
  <c r="K54" i="16"/>
  <c r="M54" i="16" s="1"/>
  <c r="M53" i="16"/>
  <c r="I55" i="16"/>
  <c r="J55" i="16"/>
  <c r="A56" i="16"/>
  <c r="H55" i="16"/>
  <c r="F55" i="18" l="1"/>
  <c r="G55" i="18"/>
  <c r="C56" i="18"/>
  <c r="E56" i="18" s="1"/>
  <c r="A57" i="18"/>
  <c r="G54" i="17"/>
  <c r="F54" i="17"/>
  <c r="B56" i="17"/>
  <c r="C56" i="17"/>
  <c r="D56" i="17"/>
  <c r="E55" i="17"/>
  <c r="D63" i="20"/>
  <c r="G63" i="20" s="1"/>
  <c r="H63" i="20"/>
  <c r="K63" i="20" s="1"/>
  <c r="P63" i="20"/>
  <c r="Q63" i="20" s="1"/>
  <c r="N63" i="20"/>
  <c r="O63" i="20" s="1"/>
  <c r="L65" i="20"/>
  <c r="M64" i="20"/>
  <c r="N64" i="20" s="1"/>
  <c r="O64" i="20" s="1"/>
  <c r="A65" i="20"/>
  <c r="B64" i="20"/>
  <c r="C64" i="20"/>
  <c r="E55" i="16"/>
  <c r="F55" i="16" s="1"/>
  <c r="E55" i="19"/>
  <c r="G55" i="19" s="1"/>
  <c r="L54" i="19"/>
  <c r="B56" i="19"/>
  <c r="C56" i="19"/>
  <c r="D56" i="19"/>
  <c r="G54" i="19"/>
  <c r="F54" i="19"/>
  <c r="G54" i="16"/>
  <c r="F54" i="16"/>
  <c r="I56" i="19"/>
  <c r="J56" i="19"/>
  <c r="A57" i="19"/>
  <c r="H56" i="19"/>
  <c r="K55" i="19"/>
  <c r="I59" i="18"/>
  <c r="K59" i="18" s="1"/>
  <c r="L58" i="18"/>
  <c r="M58" i="18"/>
  <c r="B56" i="16"/>
  <c r="C56" i="16"/>
  <c r="D56" i="16"/>
  <c r="L54" i="16"/>
  <c r="L54" i="17"/>
  <c r="M54" i="17"/>
  <c r="K55" i="17"/>
  <c r="I56" i="17"/>
  <c r="J56" i="17"/>
  <c r="A57" i="17"/>
  <c r="H56" i="17"/>
  <c r="K55" i="16"/>
  <c r="M55" i="16" s="1"/>
  <c r="H56" i="16"/>
  <c r="I56" i="16"/>
  <c r="J56" i="16"/>
  <c r="A57" i="16"/>
  <c r="G55" i="16" l="1"/>
  <c r="C57" i="18"/>
  <c r="E57" i="18" s="1"/>
  <c r="A58" i="18"/>
  <c r="G56" i="18"/>
  <c r="F56" i="18"/>
  <c r="C57" i="17"/>
  <c r="D57" i="17"/>
  <c r="B57" i="17"/>
  <c r="E56" i="17"/>
  <c r="G55" i="17"/>
  <c r="F55" i="17"/>
  <c r="D64" i="20"/>
  <c r="G64" i="20" s="1"/>
  <c r="H64" i="20"/>
  <c r="K64" i="20" s="1"/>
  <c r="L66" i="20"/>
  <c r="M65" i="20"/>
  <c r="A66" i="20"/>
  <c r="B65" i="20"/>
  <c r="C65" i="20"/>
  <c r="E56" i="19"/>
  <c r="F56" i="19" s="1"/>
  <c r="F55" i="19"/>
  <c r="B57" i="19"/>
  <c r="C57" i="19"/>
  <c r="D57" i="19"/>
  <c r="E56" i="16"/>
  <c r="H57" i="19"/>
  <c r="I57" i="19"/>
  <c r="J57" i="19"/>
  <c r="A58" i="19"/>
  <c r="K56" i="19"/>
  <c r="L55" i="19"/>
  <c r="M55" i="19"/>
  <c r="I60" i="18"/>
  <c r="K60" i="18" s="1"/>
  <c r="L59" i="18"/>
  <c r="M59" i="18"/>
  <c r="B57" i="16"/>
  <c r="C57" i="16"/>
  <c r="D57" i="16"/>
  <c r="K56" i="17"/>
  <c r="M56" i="17" s="1"/>
  <c r="L55" i="17"/>
  <c r="M55" i="17"/>
  <c r="H57" i="17"/>
  <c r="I57" i="17"/>
  <c r="J57" i="17"/>
  <c r="A58" i="17"/>
  <c r="L55" i="16"/>
  <c r="K56" i="16"/>
  <c r="H57" i="16"/>
  <c r="I57" i="16"/>
  <c r="J57" i="16"/>
  <c r="A58" i="16"/>
  <c r="F57" i="18" l="1"/>
  <c r="G57" i="18"/>
  <c r="C58" i="18"/>
  <c r="E58" i="18" s="1"/>
  <c r="A59" i="18"/>
  <c r="D58" i="17"/>
  <c r="B58" i="17"/>
  <c r="C58" i="17"/>
  <c r="F56" i="17"/>
  <c r="G56" i="17"/>
  <c r="E57" i="17"/>
  <c r="G56" i="19"/>
  <c r="D65" i="20"/>
  <c r="G65" i="20" s="1"/>
  <c r="H65" i="20"/>
  <c r="K65" i="20" s="1"/>
  <c r="L67" i="20"/>
  <c r="M66" i="20"/>
  <c r="N66" i="20" s="1"/>
  <c r="O66" i="20" s="1"/>
  <c r="P65" i="20"/>
  <c r="Q65" i="20" s="1"/>
  <c r="N65" i="20"/>
  <c r="O65" i="20" s="1"/>
  <c r="A67" i="20"/>
  <c r="B66" i="20"/>
  <c r="C66" i="20"/>
  <c r="E57" i="19"/>
  <c r="C58" i="19"/>
  <c r="D58" i="19"/>
  <c r="B58" i="19"/>
  <c r="K57" i="19"/>
  <c r="M57" i="19" s="1"/>
  <c r="E57" i="16"/>
  <c r="G56" i="16"/>
  <c r="F56" i="16"/>
  <c r="H58" i="19"/>
  <c r="I58" i="19"/>
  <c r="J58" i="19"/>
  <c r="A59" i="19"/>
  <c r="M56" i="19"/>
  <c r="L56" i="19"/>
  <c r="L60" i="18"/>
  <c r="M60" i="18"/>
  <c r="I61" i="18"/>
  <c r="K61" i="18" s="1"/>
  <c r="C58" i="16"/>
  <c r="D58" i="16"/>
  <c r="B58" i="16"/>
  <c r="K57" i="17"/>
  <c r="M57" i="17" s="1"/>
  <c r="L56" i="17"/>
  <c r="H58" i="17"/>
  <c r="I58" i="17"/>
  <c r="J58" i="17"/>
  <c r="A59" i="17"/>
  <c r="K57" i="16"/>
  <c r="J58" i="16"/>
  <c r="A59" i="16"/>
  <c r="H58" i="16"/>
  <c r="I58" i="16"/>
  <c r="L56" i="16"/>
  <c r="M56" i="16"/>
  <c r="C59" i="18" l="1"/>
  <c r="E59" i="18" s="1"/>
  <c r="A60" i="18"/>
  <c r="F58" i="18"/>
  <c r="G58" i="18"/>
  <c r="E58" i="17"/>
  <c r="B59" i="17"/>
  <c r="C59" i="17"/>
  <c r="D59" i="17"/>
  <c r="F57" i="17"/>
  <c r="G57" i="17"/>
  <c r="L57" i="19"/>
  <c r="D66" i="20"/>
  <c r="G66" i="20" s="1"/>
  <c r="H66" i="20"/>
  <c r="K66" i="20" s="1"/>
  <c r="L68" i="20"/>
  <c r="M67" i="20"/>
  <c r="A68" i="20"/>
  <c r="B67" i="20"/>
  <c r="C67" i="20"/>
  <c r="E58" i="19"/>
  <c r="F58" i="19" s="1"/>
  <c r="L57" i="17"/>
  <c r="K58" i="19"/>
  <c r="M58" i="19" s="1"/>
  <c r="D59" i="19"/>
  <c r="B59" i="19"/>
  <c r="C59" i="19"/>
  <c r="F57" i="19"/>
  <c r="G57" i="19"/>
  <c r="G57" i="16"/>
  <c r="F57" i="16"/>
  <c r="J59" i="19"/>
  <c r="A60" i="19"/>
  <c r="H59" i="19"/>
  <c r="I59" i="19"/>
  <c r="I62" i="18"/>
  <c r="K62" i="18" s="1"/>
  <c r="M61" i="18"/>
  <c r="L61" i="18"/>
  <c r="D59" i="16"/>
  <c r="B59" i="16"/>
  <c r="C59" i="16"/>
  <c r="E58" i="16"/>
  <c r="K58" i="17"/>
  <c r="L58" i="17" s="1"/>
  <c r="J59" i="17"/>
  <c r="A60" i="17"/>
  <c r="H59" i="17"/>
  <c r="I59" i="17"/>
  <c r="K58" i="16"/>
  <c r="I59" i="16"/>
  <c r="J59" i="16"/>
  <c r="A60" i="16"/>
  <c r="H59" i="16"/>
  <c r="L57" i="16"/>
  <c r="M57" i="16"/>
  <c r="C60" i="18" l="1"/>
  <c r="E60" i="18" s="1"/>
  <c r="A61" i="18"/>
  <c r="F59" i="18"/>
  <c r="G59" i="18"/>
  <c r="G58" i="17"/>
  <c r="F58" i="17"/>
  <c r="E59" i="17"/>
  <c r="B60" i="17"/>
  <c r="C60" i="17"/>
  <c r="D60" i="17"/>
  <c r="G58" i="19"/>
  <c r="D67" i="20"/>
  <c r="G67" i="20" s="1"/>
  <c r="H67" i="20"/>
  <c r="K67" i="20" s="1"/>
  <c r="L69" i="20"/>
  <c r="M68" i="20"/>
  <c r="N68" i="20" s="1"/>
  <c r="O68" i="20" s="1"/>
  <c r="P67" i="20"/>
  <c r="Q67" i="20" s="1"/>
  <c r="N67" i="20"/>
  <c r="O67" i="20" s="1"/>
  <c r="A69" i="20"/>
  <c r="C68" i="20"/>
  <c r="B68" i="20"/>
  <c r="L58" i="19"/>
  <c r="E59" i="19"/>
  <c r="G59" i="19" s="1"/>
  <c r="B60" i="19"/>
  <c r="C60" i="19"/>
  <c r="D60" i="19"/>
  <c r="G58" i="16"/>
  <c r="F58" i="16"/>
  <c r="I60" i="19"/>
  <c r="J60" i="19"/>
  <c r="A61" i="19"/>
  <c r="H60" i="19"/>
  <c r="K59" i="19"/>
  <c r="I63" i="18"/>
  <c r="K63" i="18" s="1"/>
  <c r="L62" i="18"/>
  <c r="M62" i="18"/>
  <c r="B60" i="16"/>
  <c r="C60" i="16"/>
  <c r="D60" i="16"/>
  <c r="E59" i="16"/>
  <c r="K59" i="16"/>
  <c r="M59" i="16" s="1"/>
  <c r="M58" i="17"/>
  <c r="K59" i="17"/>
  <c r="L59" i="17" s="1"/>
  <c r="I60" i="17"/>
  <c r="J60" i="17"/>
  <c r="A61" i="17"/>
  <c r="H60" i="17"/>
  <c r="H60" i="16"/>
  <c r="I60" i="16"/>
  <c r="J60" i="16"/>
  <c r="A61" i="16"/>
  <c r="L58" i="16"/>
  <c r="M58" i="16"/>
  <c r="F59" i="19" l="1"/>
  <c r="C61" i="18"/>
  <c r="E61" i="18" s="1"/>
  <c r="A62" i="18"/>
  <c r="G60" i="18"/>
  <c r="F60" i="18"/>
  <c r="C61" i="17"/>
  <c r="D61" i="17"/>
  <c r="B61" i="17"/>
  <c r="F59" i="17"/>
  <c r="G59" i="17"/>
  <c r="E60" i="17"/>
  <c r="D68" i="20"/>
  <c r="G68" i="20" s="1"/>
  <c r="H68" i="20"/>
  <c r="K68" i="20" s="1"/>
  <c r="L70" i="20"/>
  <c r="M69" i="20"/>
  <c r="A70" i="20"/>
  <c r="B69" i="20"/>
  <c r="C69" i="20"/>
  <c r="E60" i="19"/>
  <c r="B61" i="19"/>
  <c r="C61" i="19"/>
  <c r="D61" i="19"/>
  <c r="G59" i="16"/>
  <c r="F59" i="16"/>
  <c r="L59" i="19"/>
  <c r="M59" i="19"/>
  <c r="H61" i="19"/>
  <c r="I61" i="19"/>
  <c r="J61" i="19"/>
  <c r="A62" i="19"/>
  <c r="K60" i="19"/>
  <c r="I64" i="18"/>
  <c r="K64" i="18" s="1"/>
  <c r="L63" i="18"/>
  <c r="M63" i="18"/>
  <c r="E60" i="16"/>
  <c r="B61" i="16"/>
  <c r="C61" i="16"/>
  <c r="D61" i="16"/>
  <c r="L59" i="16"/>
  <c r="M59" i="17"/>
  <c r="K60" i="16"/>
  <c r="M60" i="16" s="1"/>
  <c r="H61" i="17"/>
  <c r="I61" i="17"/>
  <c r="J61" i="17"/>
  <c r="A62" i="17"/>
  <c r="K60" i="17"/>
  <c r="H61" i="16"/>
  <c r="I61" i="16"/>
  <c r="J61" i="16"/>
  <c r="A62" i="16"/>
  <c r="C62" i="18" l="1"/>
  <c r="E62" i="18" s="1"/>
  <c r="A63" i="18"/>
  <c r="F61" i="18"/>
  <c r="G61" i="18"/>
  <c r="D62" i="17"/>
  <c r="B62" i="17"/>
  <c r="C62" i="17"/>
  <c r="F60" i="17"/>
  <c r="G60" i="17"/>
  <c r="E61" i="17"/>
  <c r="L60" i="16"/>
  <c r="D69" i="20"/>
  <c r="G69" i="20" s="1"/>
  <c r="H69" i="20"/>
  <c r="K69" i="20" s="1"/>
  <c r="P69" i="20"/>
  <c r="Q69" i="20" s="1"/>
  <c r="N69" i="20"/>
  <c r="O69" i="20" s="1"/>
  <c r="L71" i="20"/>
  <c r="M70" i="20"/>
  <c r="N70" i="20" s="1"/>
  <c r="O70" i="20" s="1"/>
  <c r="A71" i="20"/>
  <c r="B70" i="20"/>
  <c r="C70" i="20"/>
  <c r="K61" i="19"/>
  <c r="L61" i="19" s="1"/>
  <c r="F60" i="19"/>
  <c r="G60" i="19"/>
  <c r="C62" i="19"/>
  <c r="D62" i="19"/>
  <c r="B62" i="19"/>
  <c r="E61" i="19"/>
  <c r="G60" i="16"/>
  <c r="F60" i="16"/>
  <c r="M60" i="19"/>
  <c r="L60" i="19"/>
  <c r="H62" i="19"/>
  <c r="I62" i="19"/>
  <c r="A63" i="19"/>
  <c r="J62" i="19"/>
  <c r="L64" i="18"/>
  <c r="M64" i="18"/>
  <c r="I65" i="18"/>
  <c r="K65" i="18" s="1"/>
  <c r="E61" i="16"/>
  <c r="C62" i="16"/>
  <c r="D62" i="16"/>
  <c r="B62" i="16"/>
  <c r="K61" i="16"/>
  <c r="M61" i="16" s="1"/>
  <c r="M60" i="17"/>
  <c r="L60" i="17"/>
  <c r="H62" i="17"/>
  <c r="I62" i="17"/>
  <c r="J62" i="17"/>
  <c r="A63" i="17"/>
  <c r="K61" i="17"/>
  <c r="J62" i="16"/>
  <c r="A63" i="16"/>
  <c r="H62" i="16"/>
  <c r="I62" i="16"/>
  <c r="C63" i="18" l="1"/>
  <c r="E63" i="18" s="1"/>
  <c r="A64" i="18"/>
  <c r="G62" i="18"/>
  <c r="F62" i="18"/>
  <c r="E62" i="17"/>
  <c r="B63" i="17"/>
  <c r="C63" i="17"/>
  <c r="D63" i="17"/>
  <c r="F61" i="17"/>
  <c r="G61" i="17"/>
  <c r="D70" i="20"/>
  <c r="G70" i="20" s="1"/>
  <c r="H70" i="20"/>
  <c r="K70" i="20" s="1"/>
  <c r="L72" i="20"/>
  <c r="M71" i="20"/>
  <c r="A72" i="20"/>
  <c r="C71" i="20"/>
  <c r="B71" i="20"/>
  <c r="M61" i="19"/>
  <c r="E62" i="19"/>
  <c r="F61" i="19"/>
  <c r="G61" i="19"/>
  <c r="D63" i="19"/>
  <c r="B63" i="19"/>
  <c r="C63" i="19"/>
  <c r="G61" i="16"/>
  <c r="F61" i="16"/>
  <c r="K62" i="19"/>
  <c r="J63" i="19"/>
  <c r="A64" i="19"/>
  <c r="H63" i="19"/>
  <c r="I63" i="19"/>
  <c r="I66" i="18"/>
  <c r="K66" i="18" s="1"/>
  <c r="M65" i="18"/>
  <c r="L65" i="18"/>
  <c r="E62" i="16"/>
  <c r="D63" i="16"/>
  <c r="B63" i="16"/>
  <c r="C63" i="16"/>
  <c r="K62" i="16"/>
  <c r="L62" i="16" s="1"/>
  <c r="L61" i="16"/>
  <c r="K62" i="17"/>
  <c r="M62" i="17" s="1"/>
  <c r="L61" i="17"/>
  <c r="M61" i="17"/>
  <c r="J63" i="17"/>
  <c r="A64" i="17"/>
  <c r="H63" i="17"/>
  <c r="I63" i="17"/>
  <c r="I63" i="16"/>
  <c r="J63" i="16"/>
  <c r="A64" i="16"/>
  <c r="H63" i="16"/>
  <c r="C64" i="18" l="1"/>
  <c r="E64" i="18" s="1"/>
  <c r="A65" i="18"/>
  <c r="F63" i="18"/>
  <c r="G63" i="18"/>
  <c r="G62" i="17"/>
  <c r="F62" i="17"/>
  <c r="E63" i="17"/>
  <c r="B64" i="17"/>
  <c r="C64" i="17"/>
  <c r="D64" i="17"/>
  <c r="D71" i="20"/>
  <c r="G71" i="20" s="1"/>
  <c r="H71" i="20"/>
  <c r="K71" i="20" s="1"/>
  <c r="P71" i="20"/>
  <c r="Q71" i="20" s="1"/>
  <c r="N71" i="20"/>
  <c r="O71" i="20" s="1"/>
  <c r="L73" i="20"/>
  <c r="M72" i="20"/>
  <c r="N72" i="20" s="1"/>
  <c r="O72" i="20" s="1"/>
  <c r="A73" i="20"/>
  <c r="B72" i="20"/>
  <c r="C72" i="20"/>
  <c r="E63" i="19"/>
  <c r="D64" i="19"/>
  <c r="B64" i="19"/>
  <c r="C64" i="19"/>
  <c r="G62" i="19"/>
  <c r="F62" i="19"/>
  <c r="G62" i="16"/>
  <c r="F62" i="16"/>
  <c r="K63" i="19"/>
  <c r="M63" i="19" s="1"/>
  <c r="E63" i="16"/>
  <c r="L62" i="19"/>
  <c r="M62" i="19"/>
  <c r="I64" i="19"/>
  <c r="J64" i="19"/>
  <c r="A65" i="19"/>
  <c r="H64" i="19"/>
  <c r="I67" i="18"/>
  <c r="K67" i="18" s="1"/>
  <c r="L66" i="18"/>
  <c r="M66" i="18"/>
  <c r="B64" i="16"/>
  <c r="C64" i="16"/>
  <c r="D64" i="16"/>
  <c r="M62" i="16"/>
  <c r="K63" i="17"/>
  <c r="M63" i="17" s="1"/>
  <c r="L62" i="17"/>
  <c r="I64" i="17"/>
  <c r="J64" i="17"/>
  <c r="A65" i="17"/>
  <c r="H64" i="17"/>
  <c r="K63" i="16"/>
  <c r="M63" i="16" s="1"/>
  <c r="H64" i="16"/>
  <c r="I64" i="16"/>
  <c r="J64" i="16"/>
  <c r="A65" i="16"/>
  <c r="G64" i="18" l="1"/>
  <c r="F64" i="18"/>
  <c r="C65" i="18"/>
  <c r="E65" i="18" s="1"/>
  <c r="A66" i="18"/>
  <c r="E64" i="17"/>
  <c r="G64" i="17" s="1"/>
  <c r="C65" i="17"/>
  <c r="D65" i="17"/>
  <c r="B65" i="17"/>
  <c r="F63" i="17"/>
  <c r="G63" i="17"/>
  <c r="D72" i="20"/>
  <c r="G72" i="20" s="1"/>
  <c r="H72" i="20"/>
  <c r="K72" i="20" s="1"/>
  <c r="L74" i="20"/>
  <c r="M73" i="20"/>
  <c r="A74" i="20"/>
  <c r="B73" i="20"/>
  <c r="C73" i="20"/>
  <c r="E64" i="19"/>
  <c r="G64" i="19" s="1"/>
  <c r="B65" i="19"/>
  <c r="C65" i="19"/>
  <c r="D65" i="19"/>
  <c r="L63" i="19"/>
  <c r="F63" i="19"/>
  <c r="G63" i="19"/>
  <c r="G63" i="16"/>
  <c r="F63" i="16"/>
  <c r="L63" i="17"/>
  <c r="K64" i="19"/>
  <c r="M64" i="19" s="1"/>
  <c r="H65" i="19"/>
  <c r="I65" i="19"/>
  <c r="J65" i="19"/>
  <c r="A66" i="19"/>
  <c r="I68" i="18"/>
  <c r="K68" i="18" s="1"/>
  <c r="L67" i="18"/>
  <c r="M67" i="18"/>
  <c r="E64" i="16"/>
  <c r="B65" i="16"/>
  <c r="C65" i="16"/>
  <c r="D65" i="16"/>
  <c r="H65" i="17"/>
  <c r="I65" i="17"/>
  <c r="J65" i="17"/>
  <c r="A66" i="17"/>
  <c r="K64" i="17"/>
  <c r="L63" i="16"/>
  <c r="K64" i="16"/>
  <c r="H65" i="16"/>
  <c r="I65" i="16"/>
  <c r="J65" i="16"/>
  <c r="A66" i="16"/>
  <c r="C66" i="18" l="1"/>
  <c r="E66" i="18" s="1"/>
  <c r="A67" i="18"/>
  <c r="F65" i="18"/>
  <c r="G65" i="18"/>
  <c r="F64" i="17"/>
  <c r="E65" i="17"/>
  <c r="F65" i="17" s="1"/>
  <c r="D66" i="17"/>
  <c r="B66" i="17"/>
  <c r="C66" i="17"/>
  <c r="D73" i="20"/>
  <c r="G73" i="20" s="1"/>
  <c r="H73" i="20"/>
  <c r="K73" i="20" s="1"/>
  <c r="P73" i="20"/>
  <c r="Q73" i="20" s="1"/>
  <c r="N73" i="20"/>
  <c r="O73" i="20" s="1"/>
  <c r="L75" i="20"/>
  <c r="M74" i="20"/>
  <c r="N74" i="20" s="1"/>
  <c r="O74" i="20" s="1"/>
  <c r="A75" i="20"/>
  <c r="C74" i="20"/>
  <c r="B74" i="20"/>
  <c r="F64" i="19"/>
  <c r="E65" i="19"/>
  <c r="F65" i="19" s="1"/>
  <c r="L64" i="19"/>
  <c r="B66" i="19"/>
  <c r="C66" i="19"/>
  <c r="D66" i="19"/>
  <c r="G64" i="16"/>
  <c r="F64" i="16"/>
  <c r="H66" i="19"/>
  <c r="I66" i="19"/>
  <c r="J66" i="19"/>
  <c r="A67" i="19"/>
  <c r="K65" i="19"/>
  <c r="L68" i="18"/>
  <c r="M68" i="18"/>
  <c r="I69" i="18"/>
  <c r="K69" i="18" s="1"/>
  <c r="E65" i="16"/>
  <c r="C66" i="16"/>
  <c r="D66" i="16"/>
  <c r="B66" i="16"/>
  <c r="M64" i="17"/>
  <c r="L64" i="17"/>
  <c r="H66" i="17"/>
  <c r="I66" i="17"/>
  <c r="J66" i="17"/>
  <c r="A67" i="17"/>
  <c r="K65" i="17"/>
  <c r="K65" i="16"/>
  <c r="J66" i="16"/>
  <c r="A67" i="16"/>
  <c r="H66" i="16"/>
  <c r="I66" i="16"/>
  <c r="L64" i="16"/>
  <c r="M64" i="16"/>
  <c r="C67" i="18" l="1"/>
  <c r="E67" i="18" s="1"/>
  <c r="A68" i="18"/>
  <c r="F66" i="18"/>
  <c r="G66" i="18"/>
  <c r="G65" i="17"/>
  <c r="E66" i="17"/>
  <c r="B67" i="17"/>
  <c r="C67" i="17"/>
  <c r="D67" i="17"/>
  <c r="D74" i="20"/>
  <c r="G74" i="20" s="1"/>
  <c r="H74" i="20"/>
  <c r="K74" i="20" s="1"/>
  <c r="G65" i="19"/>
  <c r="L76" i="20"/>
  <c r="M75" i="20"/>
  <c r="A76" i="20"/>
  <c r="B75" i="20"/>
  <c r="C75" i="20"/>
  <c r="C67" i="19"/>
  <c r="D67" i="19"/>
  <c r="B67" i="19"/>
  <c r="E66" i="19"/>
  <c r="K66" i="17"/>
  <c r="M66" i="17" s="1"/>
  <c r="G65" i="16"/>
  <c r="F65" i="16"/>
  <c r="J67" i="19"/>
  <c r="A68" i="19"/>
  <c r="H67" i="19"/>
  <c r="I67" i="19"/>
  <c r="K66" i="19"/>
  <c r="L65" i="19"/>
  <c r="M65" i="19"/>
  <c r="I70" i="18"/>
  <c r="K70" i="18" s="1"/>
  <c r="M69" i="18"/>
  <c r="L69" i="18"/>
  <c r="E66" i="16"/>
  <c r="D67" i="16"/>
  <c r="B67" i="16"/>
  <c r="C67" i="16"/>
  <c r="L65" i="17"/>
  <c r="M65" i="17"/>
  <c r="J67" i="17"/>
  <c r="A68" i="17"/>
  <c r="H67" i="17"/>
  <c r="I67" i="17"/>
  <c r="K66" i="16"/>
  <c r="I67" i="16"/>
  <c r="J67" i="16"/>
  <c r="A68" i="16"/>
  <c r="H67" i="16"/>
  <c r="L65" i="16"/>
  <c r="M65" i="16"/>
  <c r="C68" i="18" l="1"/>
  <c r="E68" i="18" s="1"/>
  <c r="A69" i="18"/>
  <c r="F67" i="18"/>
  <c r="G67" i="18"/>
  <c r="B68" i="17"/>
  <c r="C68" i="17"/>
  <c r="D68" i="17"/>
  <c r="G66" i="17"/>
  <c r="F66" i="17"/>
  <c r="E67" i="17"/>
  <c r="L66" i="17"/>
  <c r="D75" i="20"/>
  <c r="G75" i="20" s="1"/>
  <c r="H75" i="20"/>
  <c r="K75" i="20" s="1"/>
  <c r="P75" i="20"/>
  <c r="Q75" i="20" s="1"/>
  <c r="N75" i="20"/>
  <c r="O75" i="20" s="1"/>
  <c r="L77" i="20"/>
  <c r="M76" i="20"/>
  <c r="N76" i="20" s="1"/>
  <c r="O76" i="20" s="1"/>
  <c r="A77" i="20"/>
  <c r="B76" i="20"/>
  <c r="C76" i="20"/>
  <c r="E67" i="16"/>
  <c r="G67" i="16" s="1"/>
  <c r="E67" i="19"/>
  <c r="G67" i="19" s="1"/>
  <c r="G66" i="19"/>
  <c r="F66" i="19"/>
  <c r="D68" i="19"/>
  <c r="B68" i="19"/>
  <c r="C68" i="19"/>
  <c r="G66" i="16"/>
  <c r="F66" i="16"/>
  <c r="K67" i="19"/>
  <c r="L67" i="19" s="1"/>
  <c r="L66" i="19"/>
  <c r="M66" i="19"/>
  <c r="I68" i="19"/>
  <c r="J68" i="19"/>
  <c r="A69" i="19"/>
  <c r="H68" i="19"/>
  <c r="I71" i="18"/>
  <c r="K71" i="18" s="1"/>
  <c r="L70" i="18"/>
  <c r="M70" i="18"/>
  <c r="B68" i="16"/>
  <c r="C68" i="16"/>
  <c r="D68" i="16"/>
  <c r="K67" i="16"/>
  <c r="L67" i="16" s="1"/>
  <c r="K67" i="17"/>
  <c r="J68" i="17"/>
  <c r="A69" i="17"/>
  <c r="H68" i="17"/>
  <c r="I68" i="17"/>
  <c r="H68" i="16"/>
  <c r="I68" i="16"/>
  <c r="J68" i="16"/>
  <c r="A69" i="16"/>
  <c r="L66" i="16"/>
  <c r="M66" i="16"/>
  <c r="C69" i="18" l="1"/>
  <c r="E69" i="18" s="1"/>
  <c r="A70" i="18"/>
  <c r="G68" i="18"/>
  <c r="F68" i="18"/>
  <c r="E68" i="17"/>
  <c r="G68" i="17" s="1"/>
  <c r="F67" i="17"/>
  <c r="G67" i="17"/>
  <c r="C69" i="17"/>
  <c r="D69" i="17"/>
  <c r="B69" i="17"/>
  <c r="F67" i="16"/>
  <c r="D76" i="20"/>
  <c r="G76" i="20" s="1"/>
  <c r="H76" i="20"/>
  <c r="K76" i="20" s="1"/>
  <c r="L78" i="20"/>
  <c r="M77" i="20"/>
  <c r="A78" i="20"/>
  <c r="C77" i="20"/>
  <c r="B77" i="20"/>
  <c r="F67" i="19"/>
  <c r="B69" i="19"/>
  <c r="C69" i="19"/>
  <c r="D69" i="19"/>
  <c r="M67" i="19"/>
  <c r="E68" i="19"/>
  <c r="H69" i="19"/>
  <c r="I69" i="19"/>
  <c r="J69" i="19"/>
  <c r="A70" i="19"/>
  <c r="K68" i="19"/>
  <c r="I72" i="18"/>
  <c r="K72" i="18" s="1"/>
  <c r="L71" i="18"/>
  <c r="M71" i="18"/>
  <c r="E68" i="16"/>
  <c r="B69" i="16"/>
  <c r="C69" i="16"/>
  <c r="D69" i="16"/>
  <c r="M67" i="16"/>
  <c r="L67" i="17"/>
  <c r="M67" i="17"/>
  <c r="I69" i="17"/>
  <c r="H69" i="17"/>
  <c r="A70" i="17"/>
  <c r="J69" i="17"/>
  <c r="K68" i="17"/>
  <c r="K68" i="16"/>
  <c r="L68" i="16" s="1"/>
  <c r="H69" i="16"/>
  <c r="I69" i="16"/>
  <c r="J69" i="16"/>
  <c r="A70" i="16"/>
  <c r="C70" i="18" l="1"/>
  <c r="E70" i="18" s="1"/>
  <c r="A71" i="18"/>
  <c r="F69" i="18"/>
  <c r="G69" i="18"/>
  <c r="F68" i="17"/>
  <c r="E69" i="17"/>
  <c r="F69" i="17" s="1"/>
  <c r="D70" i="17"/>
  <c r="B70" i="17"/>
  <c r="C70" i="17"/>
  <c r="G69" i="17"/>
  <c r="D77" i="20"/>
  <c r="G77" i="20" s="1"/>
  <c r="H77" i="20"/>
  <c r="K77" i="20" s="1"/>
  <c r="P77" i="20"/>
  <c r="Q77" i="20" s="1"/>
  <c r="N77" i="20"/>
  <c r="O77" i="20" s="1"/>
  <c r="L79" i="20"/>
  <c r="M78" i="20"/>
  <c r="N78" i="20" s="1"/>
  <c r="O78" i="20" s="1"/>
  <c r="A79" i="20"/>
  <c r="C78" i="20"/>
  <c r="B78" i="20"/>
  <c r="E69" i="16"/>
  <c r="G69" i="16" s="1"/>
  <c r="E69" i="19"/>
  <c r="G69" i="19" s="1"/>
  <c r="B70" i="19"/>
  <c r="C70" i="19"/>
  <c r="D70" i="19"/>
  <c r="F68" i="19"/>
  <c r="G68" i="19"/>
  <c r="G68" i="16"/>
  <c r="F68" i="16"/>
  <c r="I70" i="19"/>
  <c r="H70" i="19"/>
  <c r="J70" i="19"/>
  <c r="A71" i="19"/>
  <c r="M68" i="19"/>
  <c r="L68" i="19"/>
  <c r="K69" i="19"/>
  <c r="L72" i="18"/>
  <c r="M72" i="18"/>
  <c r="I73" i="18"/>
  <c r="K73" i="18" s="1"/>
  <c r="C70" i="16"/>
  <c r="D70" i="16"/>
  <c r="B70" i="16"/>
  <c r="I70" i="17"/>
  <c r="J70" i="17"/>
  <c r="A71" i="17"/>
  <c r="H70" i="17"/>
  <c r="L68" i="17"/>
  <c r="M68" i="17"/>
  <c r="K69" i="17"/>
  <c r="M68" i="16"/>
  <c r="K69" i="16"/>
  <c r="L69" i="16" s="1"/>
  <c r="J70" i="16"/>
  <c r="A71" i="16"/>
  <c r="H70" i="16"/>
  <c r="I70" i="16"/>
  <c r="C71" i="18" l="1"/>
  <c r="E71" i="18" s="1"/>
  <c r="A72" i="18"/>
  <c r="F70" i="18"/>
  <c r="G70" i="18"/>
  <c r="B71" i="17"/>
  <c r="C71" i="17"/>
  <c r="D71" i="17"/>
  <c r="E70" i="17"/>
  <c r="D78" i="20"/>
  <c r="G78" i="20" s="1"/>
  <c r="H78" i="20"/>
  <c r="K78" i="20" s="1"/>
  <c r="L80" i="20"/>
  <c r="M79" i="20"/>
  <c r="A80" i="20"/>
  <c r="B79" i="20"/>
  <c r="C79" i="20"/>
  <c r="F69" i="16"/>
  <c r="F69" i="19"/>
  <c r="E70" i="19"/>
  <c r="G70" i="19" s="1"/>
  <c r="C71" i="19"/>
  <c r="D71" i="19"/>
  <c r="B71" i="19"/>
  <c r="H71" i="19"/>
  <c r="I71" i="19"/>
  <c r="J71" i="19"/>
  <c r="A72" i="19"/>
  <c r="L69" i="19"/>
  <c r="M69" i="19"/>
  <c r="K70" i="19"/>
  <c r="I74" i="18"/>
  <c r="K74" i="18" s="1"/>
  <c r="M73" i="18"/>
  <c r="L73" i="18"/>
  <c r="E70" i="16"/>
  <c r="D71" i="16"/>
  <c r="B71" i="16"/>
  <c r="C71" i="16"/>
  <c r="L69" i="17"/>
  <c r="M69" i="17"/>
  <c r="H71" i="17"/>
  <c r="I71" i="17"/>
  <c r="J71" i="17"/>
  <c r="A72" i="17"/>
  <c r="K70" i="17"/>
  <c r="K70" i="16"/>
  <c r="L70" i="16" s="1"/>
  <c r="M69" i="16"/>
  <c r="I71" i="16"/>
  <c r="J71" i="16"/>
  <c r="A72" i="16"/>
  <c r="H71" i="16"/>
  <c r="C72" i="18" l="1"/>
  <c r="E72" i="18" s="1"/>
  <c r="A73" i="18"/>
  <c r="F71" i="18"/>
  <c r="G71" i="18"/>
  <c r="E71" i="17"/>
  <c r="F71" i="17" s="1"/>
  <c r="F70" i="17"/>
  <c r="G70" i="17"/>
  <c r="B72" i="17"/>
  <c r="C72" i="17"/>
  <c r="D72" i="17"/>
  <c r="F70" i="19"/>
  <c r="D79" i="20"/>
  <c r="G79" i="20" s="1"/>
  <c r="H79" i="20"/>
  <c r="K79" i="20" s="1"/>
  <c r="P79" i="20"/>
  <c r="Q79" i="20" s="1"/>
  <c r="N79" i="20"/>
  <c r="O79" i="20" s="1"/>
  <c r="L81" i="20"/>
  <c r="M80" i="20"/>
  <c r="N80" i="20" s="1"/>
  <c r="O80" i="20" s="1"/>
  <c r="A81" i="20"/>
  <c r="B80" i="20"/>
  <c r="C80" i="20"/>
  <c r="D72" i="19"/>
  <c r="B72" i="19"/>
  <c r="C72" i="19"/>
  <c r="E71" i="19"/>
  <c r="G70" i="16"/>
  <c r="F70" i="16"/>
  <c r="E71" i="16"/>
  <c r="H72" i="19"/>
  <c r="I72" i="19"/>
  <c r="J72" i="19"/>
  <c r="A73" i="19"/>
  <c r="M70" i="19"/>
  <c r="L70" i="19"/>
  <c r="K71" i="19"/>
  <c r="I75" i="18"/>
  <c r="K75" i="18" s="1"/>
  <c r="L74" i="18"/>
  <c r="M74" i="18"/>
  <c r="B72" i="16"/>
  <c r="C72" i="16"/>
  <c r="D72" i="16"/>
  <c r="K71" i="17"/>
  <c r="L71" i="17" s="1"/>
  <c r="M70" i="17"/>
  <c r="L70" i="17"/>
  <c r="H72" i="17"/>
  <c r="I72" i="17"/>
  <c r="J72" i="17"/>
  <c r="A73" i="17"/>
  <c r="M70" i="16"/>
  <c r="K71" i="16"/>
  <c r="H72" i="16"/>
  <c r="I72" i="16"/>
  <c r="J72" i="16"/>
  <c r="A73" i="16"/>
  <c r="C73" i="18" l="1"/>
  <c r="E73" i="18" s="1"/>
  <c r="A74" i="18"/>
  <c r="G72" i="18"/>
  <c r="F72" i="18"/>
  <c r="G71" i="17"/>
  <c r="E72" i="17"/>
  <c r="F72" i="17" s="1"/>
  <c r="C73" i="17"/>
  <c r="D73" i="17"/>
  <c r="B73" i="17"/>
  <c r="D80" i="20"/>
  <c r="G80" i="20" s="1"/>
  <c r="H80" i="20"/>
  <c r="K80" i="20" s="1"/>
  <c r="L82" i="20"/>
  <c r="M81" i="20"/>
  <c r="A82" i="20"/>
  <c r="C81" i="20"/>
  <c r="B81" i="20"/>
  <c r="E72" i="19"/>
  <c r="F72" i="19" s="1"/>
  <c r="F71" i="19"/>
  <c r="G71" i="19"/>
  <c r="B73" i="19"/>
  <c r="C73" i="19"/>
  <c r="D73" i="19"/>
  <c r="G71" i="16"/>
  <c r="F71" i="16"/>
  <c r="J73" i="19"/>
  <c r="A74" i="19"/>
  <c r="H73" i="19"/>
  <c r="I73" i="19"/>
  <c r="L71" i="19"/>
  <c r="M71" i="19"/>
  <c r="K72" i="19"/>
  <c r="I76" i="18"/>
  <c r="K76" i="18" s="1"/>
  <c r="L75" i="18"/>
  <c r="M75" i="18"/>
  <c r="E72" i="16"/>
  <c r="B73" i="16"/>
  <c r="C73" i="16"/>
  <c r="D73" i="16"/>
  <c r="M71" i="17"/>
  <c r="J73" i="17"/>
  <c r="A74" i="17"/>
  <c r="H73" i="17"/>
  <c r="I73" i="17"/>
  <c r="K72" i="17"/>
  <c r="K72" i="16"/>
  <c r="H73" i="16"/>
  <c r="I73" i="16"/>
  <c r="J73" i="16"/>
  <c r="A74" i="16"/>
  <c r="M71" i="16"/>
  <c r="L71" i="16"/>
  <c r="C74" i="18" l="1"/>
  <c r="E74" i="18" s="1"/>
  <c r="A75" i="18"/>
  <c r="F73" i="18"/>
  <c r="G73" i="18"/>
  <c r="G72" i="17"/>
  <c r="E73" i="17"/>
  <c r="G73" i="17" s="1"/>
  <c r="D74" i="17"/>
  <c r="B74" i="17"/>
  <c r="C74" i="17"/>
  <c r="F73" i="17"/>
  <c r="D81" i="20"/>
  <c r="G81" i="20" s="1"/>
  <c r="H81" i="20"/>
  <c r="K81" i="20" s="1"/>
  <c r="P81" i="20"/>
  <c r="Q81" i="20" s="1"/>
  <c r="N81" i="20"/>
  <c r="O81" i="20" s="1"/>
  <c r="L83" i="20"/>
  <c r="M82" i="20"/>
  <c r="N82" i="20" s="1"/>
  <c r="O82" i="20" s="1"/>
  <c r="A83" i="20"/>
  <c r="C82" i="20"/>
  <c r="B82" i="20"/>
  <c r="E73" i="19"/>
  <c r="F73" i="19" s="1"/>
  <c r="G72" i="19"/>
  <c r="B74" i="19"/>
  <c r="C74" i="19"/>
  <c r="D74" i="19"/>
  <c r="G72" i="16"/>
  <c r="F72" i="16"/>
  <c r="L72" i="19"/>
  <c r="M72" i="19"/>
  <c r="I74" i="19"/>
  <c r="J74" i="19"/>
  <c r="A75" i="19"/>
  <c r="H74" i="19"/>
  <c r="K73" i="19"/>
  <c r="L76" i="18"/>
  <c r="M76" i="18"/>
  <c r="I77" i="18"/>
  <c r="K77" i="18" s="1"/>
  <c r="E73" i="16"/>
  <c r="C74" i="16"/>
  <c r="D74" i="16"/>
  <c r="B74" i="16"/>
  <c r="K73" i="17"/>
  <c r="L73" i="17" s="1"/>
  <c r="L72" i="17"/>
  <c r="M72" i="17"/>
  <c r="I74" i="17"/>
  <c r="J74" i="17"/>
  <c r="A75" i="17"/>
  <c r="H74" i="17"/>
  <c r="K73" i="16"/>
  <c r="J74" i="16"/>
  <c r="A75" i="16"/>
  <c r="H74" i="16"/>
  <c r="I74" i="16"/>
  <c r="L72" i="16"/>
  <c r="M72" i="16"/>
  <c r="C75" i="18" l="1"/>
  <c r="E75" i="18" s="1"/>
  <c r="A76" i="18"/>
  <c r="F74" i="18"/>
  <c r="G74" i="18"/>
  <c r="B75" i="17"/>
  <c r="C75" i="17"/>
  <c r="D75" i="17"/>
  <c r="E74" i="17"/>
  <c r="G73" i="19"/>
  <c r="D82" i="20"/>
  <c r="G82" i="20" s="1"/>
  <c r="H82" i="20"/>
  <c r="K82" i="20" s="1"/>
  <c r="L84" i="20"/>
  <c r="M83" i="20"/>
  <c r="A84" i="20"/>
  <c r="B83" i="20"/>
  <c r="C83" i="20"/>
  <c r="C75" i="19"/>
  <c r="D75" i="19"/>
  <c r="B75" i="19"/>
  <c r="E74" i="19"/>
  <c r="G73" i="16"/>
  <c r="F73" i="16"/>
  <c r="K74" i="19"/>
  <c r="L73" i="19"/>
  <c r="M73" i="19"/>
  <c r="H75" i="19"/>
  <c r="I75" i="19"/>
  <c r="J75" i="19"/>
  <c r="A76" i="19"/>
  <c r="I78" i="18"/>
  <c r="K78" i="18" s="1"/>
  <c r="M77" i="18"/>
  <c r="L77" i="18"/>
  <c r="E74" i="16"/>
  <c r="D75" i="16"/>
  <c r="B75" i="16"/>
  <c r="C75" i="16"/>
  <c r="M73" i="17"/>
  <c r="K74" i="17"/>
  <c r="H75" i="17"/>
  <c r="I75" i="17"/>
  <c r="J75" i="17"/>
  <c r="A76" i="17"/>
  <c r="K74" i="16"/>
  <c r="I75" i="16"/>
  <c r="J75" i="16"/>
  <c r="A76" i="16"/>
  <c r="H75" i="16"/>
  <c r="L73" i="16"/>
  <c r="M73" i="16"/>
  <c r="C76" i="18" l="1"/>
  <c r="E76" i="18" s="1"/>
  <c r="A77" i="18"/>
  <c r="F75" i="18"/>
  <c r="G75" i="18"/>
  <c r="E75" i="17"/>
  <c r="G75" i="17" s="1"/>
  <c r="B76" i="17"/>
  <c r="C76" i="17"/>
  <c r="D76" i="17"/>
  <c r="G74" i="17"/>
  <c r="F74" i="17"/>
  <c r="D83" i="20"/>
  <c r="G83" i="20" s="1"/>
  <c r="H83" i="20"/>
  <c r="K83" i="20" s="1"/>
  <c r="P83" i="20"/>
  <c r="Q83" i="20" s="1"/>
  <c r="N83" i="20"/>
  <c r="O83" i="20" s="1"/>
  <c r="L85" i="20"/>
  <c r="M84" i="20"/>
  <c r="N84" i="20" s="1"/>
  <c r="O84" i="20" s="1"/>
  <c r="A85" i="20"/>
  <c r="B84" i="20"/>
  <c r="C84" i="20"/>
  <c r="E75" i="16"/>
  <c r="G75" i="16" s="1"/>
  <c r="E75" i="19"/>
  <c r="G75" i="19" s="1"/>
  <c r="D76" i="19"/>
  <c r="B76" i="19"/>
  <c r="C76" i="19"/>
  <c r="F74" i="19"/>
  <c r="G74" i="19"/>
  <c r="K75" i="19"/>
  <c r="L75" i="19" s="1"/>
  <c r="G74" i="16"/>
  <c r="F74" i="16"/>
  <c r="H76" i="19"/>
  <c r="I76" i="19"/>
  <c r="A77" i="19"/>
  <c r="J76" i="19"/>
  <c r="M74" i="19"/>
  <c r="L74" i="19"/>
  <c r="I79" i="18"/>
  <c r="K79" i="18" s="1"/>
  <c r="L78" i="18"/>
  <c r="M78" i="18"/>
  <c r="B76" i="16"/>
  <c r="C76" i="16"/>
  <c r="D76" i="16"/>
  <c r="K75" i="17"/>
  <c r="H76" i="17"/>
  <c r="I76" i="17"/>
  <c r="J76" i="17"/>
  <c r="A77" i="17"/>
  <c r="M74" i="17"/>
  <c r="L74" i="17"/>
  <c r="K75" i="16"/>
  <c r="M75" i="16" s="1"/>
  <c r="H76" i="16"/>
  <c r="I76" i="16"/>
  <c r="J76" i="16"/>
  <c r="A77" i="16"/>
  <c r="L74" i="16"/>
  <c r="M74" i="16"/>
  <c r="C77" i="18" l="1"/>
  <c r="E77" i="18" s="1"/>
  <c r="A78" i="18"/>
  <c r="G76" i="18"/>
  <c r="F76" i="18"/>
  <c r="F75" i="17"/>
  <c r="E76" i="17"/>
  <c r="C77" i="17"/>
  <c r="D77" i="17"/>
  <c r="B77" i="17"/>
  <c r="F75" i="16"/>
  <c r="D84" i="20"/>
  <c r="G84" i="20" s="1"/>
  <c r="H84" i="20"/>
  <c r="K84" i="20" s="1"/>
  <c r="M75" i="19"/>
  <c r="F75" i="19"/>
  <c r="L86" i="20"/>
  <c r="M85" i="20"/>
  <c r="A86" i="20"/>
  <c r="C85" i="20"/>
  <c r="B85" i="20"/>
  <c r="E76" i="16"/>
  <c r="G76" i="16" s="1"/>
  <c r="E76" i="19"/>
  <c r="F76" i="19" s="1"/>
  <c r="B77" i="19"/>
  <c r="C77" i="19"/>
  <c r="D77" i="19"/>
  <c r="K76" i="19"/>
  <c r="J77" i="19"/>
  <c r="A78" i="19"/>
  <c r="H77" i="19"/>
  <c r="I77" i="19"/>
  <c r="I80" i="18"/>
  <c r="K80" i="18" s="1"/>
  <c r="L79" i="18"/>
  <c r="M79" i="18"/>
  <c r="B77" i="16"/>
  <c r="C77" i="16"/>
  <c r="D77" i="16"/>
  <c r="L75" i="16"/>
  <c r="K76" i="17"/>
  <c r="J77" i="17"/>
  <c r="A78" i="17"/>
  <c r="H77" i="17"/>
  <c r="I77" i="17"/>
  <c r="L75" i="17"/>
  <c r="M75" i="17"/>
  <c r="H77" i="16"/>
  <c r="I77" i="16"/>
  <c r="J77" i="16"/>
  <c r="A78" i="16"/>
  <c r="K76" i="16"/>
  <c r="C78" i="18" l="1"/>
  <c r="E78" i="18" s="1"/>
  <c r="A79" i="18"/>
  <c r="F77" i="18"/>
  <c r="G77" i="18"/>
  <c r="D78" i="17"/>
  <c r="B78" i="17"/>
  <c r="C78" i="17"/>
  <c r="E77" i="17"/>
  <c r="F76" i="17"/>
  <c r="G76" i="17"/>
  <c r="F76" i="16"/>
  <c r="G76" i="19"/>
  <c r="D85" i="20"/>
  <c r="G85" i="20" s="1"/>
  <c r="H85" i="20"/>
  <c r="K85" i="20" s="1"/>
  <c r="P85" i="20"/>
  <c r="Q85" i="20" s="1"/>
  <c r="N85" i="20"/>
  <c r="O85" i="20" s="1"/>
  <c r="L87" i="20"/>
  <c r="M86" i="20"/>
  <c r="N86" i="20" s="1"/>
  <c r="O86" i="20" s="1"/>
  <c r="A87" i="20"/>
  <c r="C86" i="20"/>
  <c r="B86" i="20"/>
  <c r="E77" i="19"/>
  <c r="F77" i="19" s="1"/>
  <c r="B78" i="19"/>
  <c r="C78" i="19"/>
  <c r="D78" i="19"/>
  <c r="E77" i="16"/>
  <c r="L76" i="19"/>
  <c r="M76" i="19"/>
  <c r="I78" i="19"/>
  <c r="J78" i="19"/>
  <c r="A79" i="19"/>
  <c r="H78" i="19"/>
  <c r="K77" i="19"/>
  <c r="L80" i="18"/>
  <c r="M80" i="18"/>
  <c r="I81" i="18"/>
  <c r="K81" i="18" s="1"/>
  <c r="C78" i="16"/>
  <c r="D78" i="16"/>
  <c r="B78" i="16"/>
  <c r="I78" i="17"/>
  <c r="J78" i="17"/>
  <c r="A79" i="17"/>
  <c r="H78" i="17"/>
  <c r="K77" i="17"/>
  <c r="L76" i="17"/>
  <c r="M76" i="17"/>
  <c r="K77" i="16"/>
  <c r="L77" i="16" s="1"/>
  <c r="J78" i="16"/>
  <c r="A79" i="16"/>
  <c r="H78" i="16"/>
  <c r="I78" i="16"/>
  <c r="L76" i="16"/>
  <c r="M76" i="16"/>
  <c r="C79" i="18" l="1"/>
  <c r="E79" i="18" s="1"/>
  <c r="A80" i="18"/>
  <c r="F78" i="18"/>
  <c r="G78" i="18"/>
  <c r="B79" i="17"/>
  <c r="C79" i="17"/>
  <c r="D79" i="17"/>
  <c r="F77" i="17"/>
  <c r="G77" i="17"/>
  <c r="E78" i="17"/>
  <c r="D86" i="20"/>
  <c r="G86" i="20" s="1"/>
  <c r="H86" i="20"/>
  <c r="K86" i="20" s="1"/>
  <c r="L88" i="20"/>
  <c r="M87" i="20"/>
  <c r="A88" i="20"/>
  <c r="B87" i="20"/>
  <c r="C87" i="20"/>
  <c r="G77" i="19"/>
  <c r="E78" i="19"/>
  <c r="G78" i="19" s="1"/>
  <c r="C79" i="19"/>
  <c r="D79" i="19"/>
  <c r="B79" i="19"/>
  <c r="G77" i="16"/>
  <c r="F77" i="16"/>
  <c r="L77" i="19"/>
  <c r="M77" i="19"/>
  <c r="H79" i="19"/>
  <c r="I79" i="19"/>
  <c r="J79" i="19"/>
  <c r="A80" i="19"/>
  <c r="K78" i="19"/>
  <c r="I82" i="18"/>
  <c r="K82" i="18" s="1"/>
  <c r="M81" i="18"/>
  <c r="L81" i="18"/>
  <c r="D79" i="16"/>
  <c r="B79" i="16"/>
  <c r="C79" i="16"/>
  <c r="E78" i="16"/>
  <c r="K78" i="17"/>
  <c r="M78" i="17" s="1"/>
  <c r="L77" i="17"/>
  <c r="M77" i="17"/>
  <c r="H79" i="17"/>
  <c r="I79" i="17"/>
  <c r="J79" i="17"/>
  <c r="A80" i="17"/>
  <c r="M77" i="16"/>
  <c r="K78" i="16"/>
  <c r="L78" i="16" s="1"/>
  <c r="I79" i="16"/>
  <c r="J79" i="16"/>
  <c r="A80" i="16"/>
  <c r="H79" i="16"/>
  <c r="C80" i="18" l="1"/>
  <c r="E80" i="18" s="1"/>
  <c r="A81" i="18"/>
  <c r="F79" i="18"/>
  <c r="G79" i="18"/>
  <c r="E79" i="17"/>
  <c r="F79" i="17" s="1"/>
  <c r="B80" i="17"/>
  <c r="C80" i="17"/>
  <c r="D80" i="17"/>
  <c r="G78" i="17"/>
  <c r="F78" i="17"/>
  <c r="F78" i="19"/>
  <c r="D87" i="20"/>
  <c r="G87" i="20" s="1"/>
  <c r="H87" i="20"/>
  <c r="K87" i="20" s="1"/>
  <c r="P87" i="20"/>
  <c r="Q87" i="20" s="1"/>
  <c r="N87" i="20"/>
  <c r="O87" i="20" s="1"/>
  <c r="L89" i="20"/>
  <c r="M88" i="20"/>
  <c r="N88" i="20" s="1"/>
  <c r="O88" i="20" s="1"/>
  <c r="A89" i="20"/>
  <c r="B88" i="20"/>
  <c r="C88" i="20"/>
  <c r="D80" i="19"/>
  <c r="B80" i="19"/>
  <c r="C80" i="19"/>
  <c r="K79" i="19"/>
  <c r="M79" i="19" s="1"/>
  <c r="E79" i="19"/>
  <c r="G78" i="16"/>
  <c r="F78" i="16"/>
  <c r="L79" i="19"/>
  <c r="M78" i="19"/>
  <c r="L78" i="19"/>
  <c r="H80" i="19"/>
  <c r="I80" i="19"/>
  <c r="J80" i="19"/>
  <c r="A81" i="19"/>
  <c r="I83" i="18"/>
  <c r="K83" i="18" s="1"/>
  <c r="L82" i="18"/>
  <c r="M82" i="18"/>
  <c r="B80" i="16"/>
  <c r="C80" i="16"/>
  <c r="D80" i="16"/>
  <c r="E79" i="16"/>
  <c r="K79" i="17"/>
  <c r="L79" i="17" s="1"/>
  <c r="L78" i="17"/>
  <c r="H80" i="17"/>
  <c r="I80" i="17"/>
  <c r="J80" i="17"/>
  <c r="A81" i="17"/>
  <c r="K79" i="16"/>
  <c r="L79" i="16" s="1"/>
  <c r="M78" i="16"/>
  <c r="H80" i="16"/>
  <c r="I80" i="16"/>
  <c r="J80" i="16"/>
  <c r="A81" i="16"/>
  <c r="C81" i="18" l="1"/>
  <c r="E81" i="18" s="1"/>
  <c r="A82" i="18"/>
  <c r="G80" i="18"/>
  <c r="F80" i="18"/>
  <c r="G79" i="17"/>
  <c r="C81" i="17"/>
  <c r="D81" i="17"/>
  <c r="B81" i="17"/>
  <c r="E80" i="17"/>
  <c r="D88" i="20"/>
  <c r="G88" i="20" s="1"/>
  <c r="H88" i="20"/>
  <c r="K88" i="20" s="1"/>
  <c r="L90" i="20"/>
  <c r="M89" i="20"/>
  <c r="A90" i="20"/>
  <c r="C89" i="20"/>
  <c r="B89" i="20"/>
  <c r="E80" i="19"/>
  <c r="G80" i="19" s="1"/>
  <c r="F79" i="19"/>
  <c r="G79" i="19"/>
  <c r="B81" i="19"/>
  <c r="C81" i="19"/>
  <c r="D81" i="19"/>
  <c r="G79" i="16"/>
  <c r="F79" i="16"/>
  <c r="J81" i="19"/>
  <c r="A82" i="19"/>
  <c r="H81" i="19"/>
  <c r="I81" i="19"/>
  <c r="K80" i="19"/>
  <c r="I84" i="18"/>
  <c r="K84" i="18" s="1"/>
  <c r="L83" i="18"/>
  <c r="M83" i="18"/>
  <c r="E80" i="16"/>
  <c r="B81" i="16"/>
  <c r="C81" i="16"/>
  <c r="D81" i="16"/>
  <c r="M79" i="17"/>
  <c r="J81" i="17"/>
  <c r="A82" i="17"/>
  <c r="H81" i="17"/>
  <c r="I81" i="17"/>
  <c r="K80" i="17"/>
  <c r="M79" i="16"/>
  <c r="K80" i="16"/>
  <c r="H81" i="16"/>
  <c r="I81" i="16"/>
  <c r="J81" i="16"/>
  <c r="A82" i="16"/>
  <c r="C82" i="18" l="1"/>
  <c r="E82" i="18" s="1"/>
  <c r="A83" i="18"/>
  <c r="F81" i="18"/>
  <c r="G81" i="18"/>
  <c r="E81" i="17"/>
  <c r="G81" i="17" s="1"/>
  <c r="F80" i="17"/>
  <c r="G80" i="17"/>
  <c r="D82" i="17"/>
  <c r="B82" i="17"/>
  <c r="C82" i="17"/>
  <c r="D89" i="20"/>
  <c r="G89" i="20" s="1"/>
  <c r="H89" i="20"/>
  <c r="K89" i="20" s="1"/>
  <c r="F80" i="19"/>
  <c r="P89" i="20"/>
  <c r="Q89" i="20" s="1"/>
  <c r="N89" i="20"/>
  <c r="O89" i="20" s="1"/>
  <c r="L91" i="20"/>
  <c r="M90" i="20"/>
  <c r="N90" i="20" s="1"/>
  <c r="O90" i="20" s="1"/>
  <c r="A91" i="20"/>
  <c r="C90" i="20"/>
  <c r="B90" i="20"/>
  <c r="E81" i="19"/>
  <c r="G81" i="19" s="1"/>
  <c r="B82" i="19"/>
  <c r="C82" i="19"/>
  <c r="D82" i="19"/>
  <c r="G80" i="16"/>
  <c r="F80" i="16"/>
  <c r="K81" i="19"/>
  <c r="L81" i="19" s="1"/>
  <c r="L80" i="19"/>
  <c r="M80" i="19"/>
  <c r="I82" i="19"/>
  <c r="J82" i="19"/>
  <c r="A83" i="19"/>
  <c r="H82" i="19"/>
  <c r="L84" i="18"/>
  <c r="M84" i="18"/>
  <c r="I85" i="18"/>
  <c r="K85" i="18" s="1"/>
  <c r="E81" i="16"/>
  <c r="C82" i="16"/>
  <c r="D82" i="16"/>
  <c r="B82" i="16"/>
  <c r="K81" i="17"/>
  <c r="L81" i="17" s="1"/>
  <c r="I82" i="17"/>
  <c r="J82" i="17"/>
  <c r="A83" i="17"/>
  <c r="H82" i="17"/>
  <c r="L80" i="17"/>
  <c r="M80" i="17"/>
  <c r="K81" i="16"/>
  <c r="L81" i="16" s="1"/>
  <c r="J82" i="16"/>
  <c r="A83" i="16"/>
  <c r="H82" i="16"/>
  <c r="I82" i="16"/>
  <c r="L80" i="16"/>
  <c r="M80" i="16"/>
  <c r="F81" i="17" l="1"/>
  <c r="C83" i="18"/>
  <c r="E83" i="18" s="1"/>
  <c r="A84" i="18"/>
  <c r="F82" i="18"/>
  <c r="G82" i="18"/>
  <c r="E82" i="17"/>
  <c r="B83" i="17"/>
  <c r="C83" i="17"/>
  <c r="D83" i="17"/>
  <c r="D90" i="20"/>
  <c r="G90" i="20" s="1"/>
  <c r="H90" i="20"/>
  <c r="K90" i="20" s="1"/>
  <c r="F81" i="19"/>
  <c r="L92" i="20"/>
  <c r="M91" i="20"/>
  <c r="A92" i="20"/>
  <c r="B91" i="20"/>
  <c r="C91" i="20"/>
  <c r="M81" i="19"/>
  <c r="B83" i="19"/>
  <c r="C83" i="19"/>
  <c r="D83" i="19"/>
  <c r="E82" i="19"/>
  <c r="G81" i="16"/>
  <c r="F81" i="16"/>
  <c r="H83" i="19"/>
  <c r="I83" i="19"/>
  <c r="J83" i="19"/>
  <c r="A84" i="19"/>
  <c r="K82" i="19"/>
  <c r="I86" i="18"/>
  <c r="K86" i="18" s="1"/>
  <c r="M85" i="18"/>
  <c r="L85" i="18"/>
  <c r="E82" i="16"/>
  <c r="D83" i="16"/>
  <c r="B83" i="16"/>
  <c r="C83" i="16"/>
  <c r="M81" i="17"/>
  <c r="K82" i="17"/>
  <c r="M82" i="17" s="1"/>
  <c r="H83" i="17"/>
  <c r="I83" i="17"/>
  <c r="J83" i="17"/>
  <c r="A84" i="17"/>
  <c r="M81" i="16"/>
  <c r="K82" i="16"/>
  <c r="L82" i="16" s="1"/>
  <c r="I83" i="16"/>
  <c r="J83" i="16"/>
  <c r="A84" i="16"/>
  <c r="H83" i="16"/>
  <c r="C84" i="18" l="1"/>
  <c r="E84" i="18" s="1"/>
  <c r="A85" i="18"/>
  <c r="F83" i="18"/>
  <c r="G83" i="18"/>
  <c r="E83" i="17"/>
  <c r="F83" i="17" s="1"/>
  <c r="B84" i="17"/>
  <c r="C84" i="17"/>
  <c r="D84" i="17"/>
  <c r="G82" i="17"/>
  <c r="F82" i="17"/>
  <c r="D91" i="20"/>
  <c r="G91" i="20" s="1"/>
  <c r="H91" i="20"/>
  <c r="K91" i="20" s="1"/>
  <c r="P91" i="20"/>
  <c r="Q91" i="20" s="1"/>
  <c r="N91" i="20"/>
  <c r="O91" i="20" s="1"/>
  <c r="L93" i="20"/>
  <c r="M92" i="20"/>
  <c r="N92" i="20" s="1"/>
  <c r="O92" i="20" s="1"/>
  <c r="A93" i="20"/>
  <c r="B92" i="20"/>
  <c r="C92" i="20"/>
  <c r="G82" i="19"/>
  <c r="F82" i="19"/>
  <c r="E83" i="19"/>
  <c r="C84" i="19"/>
  <c r="D84" i="19"/>
  <c r="B84" i="19"/>
  <c r="G82" i="16"/>
  <c r="F82" i="16"/>
  <c r="L82" i="17"/>
  <c r="H84" i="19"/>
  <c r="I84" i="19"/>
  <c r="A85" i="19"/>
  <c r="J84" i="19"/>
  <c r="M82" i="19"/>
  <c r="L82" i="19"/>
  <c r="K83" i="19"/>
  <c r="I87" i="18"/>
  <c r="K87" i="18" s="1"/>
  <c r="M86" i="18"/>
  <c r="L86" i="18"/>
  <c r="E83" i="16"/>
  <c r="B84" i="16"/>
  <c r="C84" i="16"/>
  <c r="D84" i="16"/>
  <c r="M82" i="16"/>
  <c r="H84" i="17"/>
  <c r="I84" i="17"/>
  <c r="J84" i="17"/>
  <c r="A85" i="17"/>
  <c r="K83" i="17"/>
  <c r="K83" i="16"/>
  <c r="H84" i="16"/>
  <c r="I84" i="16"/>
  <c r="J84" i="16"/>
  <c r="A85" i="16"/>
  <c r="C85" i="18" l="1"/>
  <c r="E85" i="18" s="1"/>
  <c r="A86" i="18"/>
  <c r="G84" i="18"/>
  <c r="F84" i="18"/>
  <c r="G83" i="17"/>
  <c r="C85" i="17"/>
  <c r="D85" i="17"/>
  <c r="B85" i="17"/>
  <c r="E84" i="17"/>
  <c r="D92" i="20"/>
  <c r="G92" i="20" s="1"/>
  <c r="H92" i="20"/>
  <c r="K92" i="20" s="1"/>
  <c r="E84" i="19"/>
  <c r="F84" i="19" s="1"/>
  <c r="L94" i="20"/>
  <c r="M93" i="20"/>
  <c r="A94" i="20"/>
  <c r="C93" i="20"/>
  <c r="B93" i="20"/>
  <c r="D85" i="19"/>
  <c r="B85" i="19"/>
  <c r="C85" i="19"/>
  <c r="F83" i="19"/>
  <c r="G83" i="19"/>
  <c r="G83" i="16"/>
  <c r="F83" i="16"/>
  <c r="K84" i="19"/>
  <c r="J85" i="19"/>
  <c r="A86" i="19"/>
  <c r="H85" i="19"/>
  <c r="I85" i="19"/>
  <c r="L83" i="19"/>
  <c r="M83" i="19"/>
  <c r="I88" i="18"/>
  <c r="K88" i="18" s="1"/>
  <c r="L87" i="18"/>
  <c r="M87" i="18"/>
  <c r="E84" i="16"/>
  <c r="B85" i="16"/>
  <c r="C85" i="16"/>
  <c r="D85" i="16"/>
  <c r="L83" i="17"/>
  <c r="M83" i="17"/>
  <c r="J85" i="17"/>
  <c r="A86" i="17"/>
  <c r="H85" i="17"/>
  <c r="I85" i="17"/>
  <c r="K84" i="17"/>
  <c r="K84" i="16"/>
  <c r="H85" i="16"/>
  <c r="I85" i="16"/>
  <c r="J85" i="16"/>
  <c r="A86" i="16"/>
  <c r="M83" i="16"/>
  <c r="L83" i="16"/>
  <c r="C86" i="18" l="1"/>
  <c r="E86" i="18" s="1"/>
  <c r="A87" i="18"/>
  <c r="F85" i="18"/>
  <c r="G85" i="18"/>
  <c r="F84" i="17"/>
  <c r="G84" i="17"/>
  <c r="D86" i="17"/>
  <c r="B86" i="17"/>
  <c r="C86" i="17"/>
  <c r="E85" i="17"/>
  <c r="G84" i="19"/>
  <c r="D93" i="20"/>
  <c r="G93" i="20" s="1"/>
  <c r="H93" i="20"/>
  <c r="K93" i="20" s="1"/>
  <c r="P93" i="20"/>
  <c r="Q93" i="20" s="1"/>
  <c r="N93" i="20"/>
  <c r="O93" i="20" s="1"/>
  <c r="L95" i="20"/>
  <c r="M94" i="20"/>
  <c r="N94" i="20" s="1"/>
  <c r="O94" i="20" s="1"/>
  <c r="A95" i="20"/>
  <c r="C94" i="20"/>
  <c r="B94" i="20"/>
  <c r="B86" i="19"/>
  <c r="C86" i="19"/>
  <c r="D86" i="19"/>
  <c r="E85" i="19"/>
  <c r="G84" i="16"/>
  <c r="F84" i="16"/>
  <c r="L84" i="19"/>
  <c r="M84" i="19"/>
  <c r="I86" i="19"/>
  <c r="J86" i="19"/>
  <c r="A87" i="19"/>
  <c r="H86" i="19"/>
  <c r="K85" i="19"/>
  <c r="I89" i="18"/>
  <c r="K89" i="18" s="1"/>
  <c r="L88" i="18"/>
  <c r="M88" i="18"/>
  <c r="C86" i="16"/>
  <c r="D86" i="16"/>
  <c r="B86" i="16"/>
  <c r="E85" i="16"/>
  <c r="I86" i="17"/>
  <c r="J86" i="17"/>
  <c r="A87" i="17"/>
  <c r="H86" i="17"/>
  <c r="L84" i="17"/>
  <c r="M84" i="17"/>
  <c r="K85" i="17"/>
  <c r="K85" i="16"/>
  <c r="J86" i="16"/>
  <c r="A87" i="16"/>
  <c r="H86" i="16"/>
  <c r="I86" i="16"/>
  <c r="L84" i="16"/>
  <c r="M84" i="16"/>
  <c r="C87" i="18" l="1"/>
  <c r="E87" i="18" s="1"/>
  <c r="A88" i="18"/>
  <c r="G86" i="18"/>
  <c r="F86" i="18"/>
  <c r="E86" i="17"/>
  <c r="B87" i="17"/>
  <c r="C87" i="17"/>
  <c r="D87" i="17"/>
  <c r="F85" i="17"/>
  <c r="G85" i="17"/>
  <c r="D94" i="20"/>
  <c r="G94" i="20" s="1"/>
  <c r="H94" i="20"/>
  <c r="K94" i="20" s="1"/>
  <c r="L96" i="20"/>
  <c r="M95" i="20"/>
  <c r="A96" i="20"/>
  <c r="B95" i="20"/>
  <c r="C95" i="20"/>
  <c r="F85" i="19"/>
  <c r="G85" i="19"/>
  <c r="B87" i="19"/>
  <c r="C87" i="19"/>
  <c r="D87" i="19"/>
  <c r="E86" i="19"/>
  <c r="G85" i="16"/>
  <c r="F85" i="16"/>
  <c r="H87" i="19"/>
  <c r="I87" i="19"/>
  <c r="J87" i="19"/>
  <c r="A88" i="19"/>
  <c r="K86" i="19"/>
  <c r="L85" i="19"/>
  <c r="M85" i="19"/>
  <c r="L89" i="18"/>
  <c r="M89" i="18"/>
  <c r="I90" i="18"/>
  <c r="K90" i="18" s="1"/>
  <c r="E86" i="16"/>
  <c r="D87" i="16"/>
  <c r="B87" i="16"/>
  <c r="C87" i="16"/>
  <c r="K86" i="17"/>
  <c r="M86" i="17" s="1"/>
  <c r="L85" i="17"/>
  <c r="M85" i="17"/>
  <c r="H87" i="17"/>
  <c r="I87" i="17"/>
  <c r="J87" i="17"/>
  <c r="A88" i="17"/>
  <c r="K86" i="16"/>
  <c r="I87" i="16"/>
  <c r="J87" i="16"/>
  <c r="A88" i="16"/>
  <c r="H87" i="16"/>
  <c r="L85" i="16"/>
  <c r="M85" i="16"/>
  <c r="C88" i="18" l="1"/>
  <c r="E88" i="18" s="1"/>
  <c r="A89" i="18"/>
  <c r="F87" i="18"/>
  <c r="G87" i="18"/>
  <c r="E87" i="17"/>
  <c r="F87" i="17" s="1"/>
  <c r="B88" i="17"/>
  <c r="C88" i="17"/>
  <c r="D88" i="17"/>
  <c r="G86" i="17"/>
  <c r="F86" i="17"/>
  <c r="D95" i="20"/>
  <c r="G95" i="20" s="1"/>
  <c r="H95" i="20"/>
  <c r="K95" i="20" s="1"/>
  <c r="P95" i="20"/>
  <c r="Q95" i="20" s="1"/>
  <c r="N95" i="20"/>
  <c r="O95" i="20" s="1"/>
  <c r="L97" i="20"/>
  <c r="M96" i="20"/>
  <c r="N96" i="20" s="1"/>
  <c r="O96" i="20" s="1"/>
  <c r="A97" i="20"/>
  <c r="B96" i="20"/>
  <c r="C96" i="20"/>
  <c r="K87" i="19"/>
  <c r="L87" i="19" s="1"/>
  <c r="E87" i="19"/>
  <c r="C88" i="19"/>
  <c r="D88" i="19"/>
  <c r="B88" i="19"/>
  <c r="F86" i="19"/>
  <c r="G86" i="19"/>
  <c r="G86" i="16"/>
  <c r="F86" i="16"/>
  <c r="M86" i="19"/>
  <c r="L86" i="19"/>
  <c r="H88" i="19"/>
  <c r="I88" i="19"/>
  <c r="J88" i="19"/>
  <c r="A89" i="19"/>
  <c r="I91" i="18"/>
  <c r="K91" i="18" s="1"/>
  <c r="M90" i="18"/>
  <c r="L90" i="18"/>
  <c r="B88" i="16"/>
  <c r="C88" i="16"/>
  <c r="D88" i="16"/>
  <c r="E87" i="16"/>
  <c r="L86" i="17"/>
  <c r="K87" i="16"/>
  <c r="L87" i="16" s="1"/>
  <c r="K87" i="17"/>
  <c r="L87" i="17" s="1"/>
  <c r="H88" i="17"/>
  <c r="I88" i="17"/>
  <c r="J88" i="17"/>
  <c r="A89" i="17"/>
  <c r="H88" i="16"/>
  <c r="I88" i="16"/>
  <c r="J88" i="16"/>
  <c r="A89" i="16"/>
  <c r="L86" i="16"/>
  <c r="M86" i="16"/>
  <c r="C89" i="18" l="1"/>
  <c r="E89" i="18" s="1"/>
  <c r="A90" i="18"/>
  <c r="G88" i="18"/>
  <c r="F88" i="18"/>
  <c r="G87" i="17"/>
  <c r="C89" i="17"/>
  <c r="D89" i="17"/>
  <c r="B89" i="17"/>
  <c r="E88" i="17"/>
  <c r="M87" i="19"/>
  <c r="D96" i="20"/>
  <c r="G96" i="20" s="1"/>
  <c r="H96" i="20"/>
  <c r="K96" i="20" s="1"/>
  <c r="L98" i="20"/>
  <c r="M97" i="20"/>
  <c r="A98" i="20"/>
  <c r="C97" i="20"/>
  <c r="B97" i="20"/>
  <c r="E88" i="19"/>
  <c r="F88" i="19" s="1"/>
  <c r="K88" i="19"/>
  <c r="L88" i="19" s="1"/>
  <c r="G87" i="19"/>
  <c r="F87" i="19"/>
  <c r="D89" i="19"/>
  <c r="B89" i="19"/>
  <c r="C89" i="19"/>
  <c r="G87" i="16"/>
  <c r="F87" i="16"/>
  <c r="J89" i="19"/>
  <c r="A90" i="19"/>
  <c r="H89" i="19"/>
  <c r="I89" i="19"/>
  <c r="L91" i="18"/>
  <c r="M91" i="18"/>
  <c r="I92" i="18"/>
  <c r="K92" i="18" s="1"/>
  <c r="B89" i="16"/>
  <c r="C89" i="16"/>
  <c r="D89" i="16"/>
  <c r="E88" i="16"/>
  <c r="M87" i="16"/>
  <c r="M87" i="17"/>
  <c r="K88" i="16"/>
  <c r="M88" i="16" s="1"/>
  <c r="J89" i="17"/>
  <c r="A90" i="17"/>
  <c r="H89" i="17"/>
  <c r="I89" i="17"/>
  <c r="K88" i="17"/>
  <c r="H89" i="16"/>
  <c r="I89" i="16"/>
  <c r="J89" i="16"/>
  <c r="A90" i="16"/>
  <c r="C90" i="18" l="1"/>
  <c r="E90" i="18" s="1"/>
  <c r="A91" i="18"/>
  <c r="F89" i="18"/>
  <c r="G89" i="18"/>
  <c r="G88" i="17"/>
  <c r="F88" i="17"/>
  <c r="D90" i="17"/>
  <c r="B90" i="17"/>
  <c r="C90" i="17"/>
  <c r="E89" i="17"/>
  <c r="G88" i="19"/>
  <c r="M88" i="19"/>
  <c r="D97" i="20"/>
  <c r="G97" i="20" s="1"/>
  <c r="H97" i="20"/>
  <c r="K97" i="20" s="1"/>
  <c r="L99" i="20"/>
  <c r="M98" i="20"/>
  <c r="N98" i="20" s="1"/>
  <c r="O98" i="20" s="1"/>
  <c r="P97" i="20"/>
  <c r="Q97" i="20" s="1"/>
  <c r="N97" i="20"/>
  <c r="O97" i="20" s="1"/>
  <c r="A99" i="20"/>
  <c r="C98" i="20"/>
  <c r="B98" i="20"/>
  <c r="B90" i="19"/>
  <c r="C90" i="19"/>
  <c r="D90" i="19"/>
  <c r="E89" i="19"/>
  <c r="G88" i="16"/>
  <c r="F88" i="16"/>
  <c r="K89" i="19"/>
  <c r="I90" i="19"/>
  <c r="J90" i="19"/>
  <c r="A91" i="19"/>
  <c r="H90" i="19"/>
  <c r="I93" i="18"/>
  <c r="K93" i="18" s="1"/>
  <c r="M92" i="18"/>
  <c r="L92" i="18"/>
  <c r="C90" i="16"/>
  <c r="D90" i="16"/>
  <c r="B90" i="16"/>
  <c r="E89" i="16"/>
  <c r="L88" i="16"/>
  <c r="K89" i="17"/>
  <c r="L89" i="17" s="1"/>
  <c r="I90" i="17"/>
  <c r="J90" i="17"/>
  <c r="A91" i="17"/>
  <c r="H90" i="17"/>
  <c r="L88" i="17"/>
  <c r="M88" i="17"/>
  <c r="K89" i="16"/>
  <c r="M89" i="16" s="1"/>
  <c r="J90" i="16"/>
  <c r="H90" i="16"/>
  <c r="A91" i="16"/>
  <c r="I90" i="16"/>
  <c r="C91" i="18" l="1"/>
  <c r="E91" i="18" s="1"/>
  <c r="A92" i="18"/>
  <c r="F90" i="18"/>
  <c r="G90" i="18"/>
  <c r="F89" i="17"/>
  <c r="G89" i="17"/>
  <c r="E90" i="17"/>
  <c r="B91" i="17"/>
  <c r="C91" i="17"/>
  <c r="D91" i="17"/>
  <c r="D98" i="20"/>
  <c r="G98" i="20" s="1"/>
  <c r="H98" i="20"/>
  <c r="K98" i="20" s="1"/>
  <c r="L100" i="20"/>
  <c r="M99" i="20"/>
  <c r="A100" i="20"/>
  <c r="B99" i="20"/>
  <c r="C99" i="20"/>
  <c r="F89" i="19"/>
  <c r="G89" i="19"/>
  <c r="E90" i="19"/>
  <c r="B91" i="19"/>
  <c r="C91" i="19"/>
  <c r="D91" i="19"/>
  <c r="G89" i="16"/>
  <c r="F89" i="16"/>
  <c r="H91" i="19"/>
  <c r="I91" i="19"/>
  <c r="J91" i="19"/>
  <c r="A92" i="19"/>
  <c r="K90" i="19"/>
  <c r="L89" i="19"/>
  <c r="M89" i="19"/>
  <c r="L93" i="18"/>
  <c r="M93" i="18"/>
  <c r="I94" i="18"/>
  <c r="K94" i="18" s="1"/>
  <c r="E90" i="16"/>
  <c r="D91" i="16"/>
  <c r="B91" i="16"/>
  <c r="C91" i="16"/>
  <c r="M89" i="17"/>
  <c r="L89" i="16"/>
  <c r="K90" i="17"/>
  <c r="M90" i="17" s="1"/>
  <c r="H91" i="17"/>
  <c r="I91" i="17"/>
  <c r="J91" i="17"/>
  <c r="A92" i="17"/>
  <c r="I91" i="16"/>
  <c r="J91" i="16"/>
  <c r="A92" i="16"/>
  <c r="H91" i="16"/>
  <c r="K90" i="16"/>
  <c r="C92" i="18" l="1"/>
  <c r="E92" i="18" s="1"/>
  <c r="A93" i="18"/>
  <c r="F91" i="18"/>
  <c r="G91" i="18"/>
  <c r="G90" i="17"/>
  <c r="F90" i="17"/>
  <c r="E91" i="17"/>
  <c r="B92" i="17"/>
  <c r="C92" i="17"/>
  <c r="D92" i="17"/>
  <c r="D99" i="20"/>
  <c r="G99" i="20" s="1"/>
  <c r="H99" i="20"/>
  <c r="K99" i="20" s="1"/>
  <c r="P99" i="20"/>
  <c r="Q99" i="20" s="1"/>
  <c r="N99" i="20"/>
  <c r="O99" i="20" s="1"/>
  <c r="L101" i="20"/>
  <c r="M100" i="20"/>
  <c r="N100" i="20" s="1"/>
  <c r="O100" i="20" s="1"/>
  <c r="A101" i="20"/>
  <c r="B100" i="20"/>
  <c r="C100" i="20"/>
  <c r="E91" i="19"/>
  <c r="F91" i="19" s="1"/>
  <c r="C92" i="19"/>
  <c r="D92" i="19"/>
  <c r="B92" i="19"/>
  <c r="K91" i="19"/>
  <c r="L91" i="19" s="1"/>
  <c r="F90" i="19"/>
  <c r="G90" i="19"/>
  <c r="G90" i="16"/>
  <c r="F90" i="16"/>
  <c r="H92" i="19"/>
  <c r="I92" i="19"/>
  <c r="A93" i="19"/>
  <c r="J92" i="19"/>
  <c r="M90" i="19"/>
  <c r="L90" i="19"/>
  <c r="I95" i="18"/>
  <c r="K95" i="18" s="1"/>
  <c r="M94" i="18"/>
  <c r="L94" i="18"/>
  <c r="E91" i="16"/>
  <c r="B92" i="16"/>
  <c r="C92" i="16"/>
  <c r="D92" i="16"/>
  <c r="L90" i="17"/>
  <c r="H92" i="17"/>
  <c r="I92" i="17"/>
  <c r="J92" i="17"/>
  <c r="A93" i="17"/>
  <c r="K91" i="17"/>
  <c r="K91" i="16"/>
  <c r="H92" i="16"/>
  <c r="I92" i="16"/>
  <c r="J92" i="16"/>
  <c r="A93" i="16"/>
  <c r="L90" i="16"/>
  <c r="M90" i="16"/>
  <c r="C93" i="18" l="1"/>
  <c r="E93" i="18" s="1"/>
  <c r="A94" i="18"/>
  <c r="G92" i="18"/>
  <c r="F92" i="18"/>
  <c r="F91" i="17"/>
  <c r="G91" i="17"/>
  <c r="C93" i="17"/>
  <c r="D93" i="17"/>
  <c r="B93" i="17"/>
  <c r="E92" i="17"/>
  <c r="D100" i="20"/>
  <c r="G100" i="20" s="1"/>
  <c r="H100" i="20"/>
  <c r="K100" i="20" s="1"/>
  <c r="L102" i="20"/>
  <c r="M101" i="20"/>
  <c r="A102" i="20"/>
  <c r="C101" i="20"/>
  <c r="B101" i="20"/>
  <c r="M91" i="19"/>
  <c r="G91" i="19"/>
  <c r="E92" i="19"/>
  <c r="D93" i="19"/>
  <c r="B93" i="19"/>
  <c r="C93" i="19"/>
  <c r="G91" i="16"/>
  <c r="F91" i="16"/>
  <c r="K92" i="19"/>
  <c r="J93" i="19"/>
  <c r="A94" i="19"/>
  <c r="H93" i="19"/>
  <c r="I93" i="19"/>
  <c r="I96" i="18"/>
  <c r="K96" i="18" s="1"/>
  <c r="L95" i="18"/>
  <c r="M95" i="18"/>
  <c r="B93" i="16"/>
  <c r="C93" i="16"/>
  <c r="D93" i="16"/>
  <c r="E92" i="16"/>
  <c r="J93" i="17"/>
  <c r="A94" i="17"/>
  <c r="H93" i="17"/>
  <c r="I93" i="17"/>
  <c r="L91" i="17"/>
  <c r="M91" i="17"/>
  <c r="K92" i="17"/>
  <c r="K92" i="16"/>
  <c r="H93" i="16"/>
  <c r="I93" i="16"/>
  <c r="A94" i="16"/>
  <c r="J93" i="16"/>
  <c r="M91" i="16"/>
  <c r="L91" i="16"/>
  <c r="C94" i="18" l="1"/>
  <c r="E94" i="18" s="1"/>
  <c r="A95" i="18"/>
  <c r="F93" i="18"/>
  <c r="G93" i="18"/>
  <c r="D94" i="17"/>
  <c r="B94" i="17"/>
  <c r="C94" i="17"/>
  <c r="E93" i="17"/>
  <c r="G92" i="17"/>
  <c r="F92" i="17"/>
  <c r="D101" i="20"/>
  <c r="G101" i="20" s="1"/>
  <c r="H101" i="20"/>
  <c r="K101" i="20" s="1"/>
  <c r="P101" i="20"/>
  <c r="Q101" i="20" s="1"/>
  <c r="N101" i="20"/>
  <c r="O101" i="20" s="1"/>
  <c r="L103" i="20"/>
  <c r="M102" i="20"/>
  <c r="N102" i="20" s="1"/>
  <c r="O102" i="20" s="1"/>
  <c r="A103" i="20"/>
  <c r="C102" i="20"/>
  <c r="B102" i="20"/>
  <c r="D94" i="19"/>
  <c r="B94" i="19"/>
  <c r="C94" i="19"/>
  <c r="G92" i="19"/>
  <c r="F92" i="19"/>
  <c r="E93" i="19"/>
  <c r="E93" i="16"/>
  <c r="I94" i="19"/>
  <c r="J94" i="19"/>
  <c r="A95" i="19"/>
  <c r="H94" i="19"/>
  <c r="K93" i="19"/>
  <c r="L92" i="19"/>
  <c r="M92" i="19"/>
  <c r="I97" i="18"/>
  <c r="K97" i="18" s="1"/>
  <c r="L96" i="18"/>
  <c r="M96" i="18"/>
  <c r="F92" i="16"/>
  <c r="G92" i="16"/>
  <c r="C94" i="16"/>
  <c r="D94" i="16"/>
  <c r="B94" i="16"/>
  <c r="K93" i="17"/>
  <c r="L93" i="17" s="1"/>
  <c r="I94" i="17"/>
  <c r="J94" i="17"/>
  <c r="A95" i="17"/>
  <c r="H94" i="17"/>
  <c r="L92" i="17"/>
  <c r="M92" i="17"/>
  <c r="J94" i="16"/>
  <c r="A95" i="16"/>
  <c r="H94" i="16"/>
  <c r="I94" i="16"/>
  <c r="K93" i="16"/>
  <c r="L92" i="16"/>
  <c r="M92" i="16"/>
  <c r="C95" i="18" l="1"/>
  <c r="E95" i="18" s="1"/>
  <c r="A96" i="18"/>
  <c r="F94" i="18"/>
  <c r="G94" i="18"/>
  <c r="E94" i="17"/>
  <c r="G93" i="17"/>
  <c r="F93" i="17"/>
  <c r="B95" i="17"/>
  <c r="C95" i="17"/>
  <c r="D95" i="17"/>
  <c r="D102" i="20"/>
  <c r="G102" i="20" s="1"/>
  <c r="H102" i="20"/>
  <c r="K102" i="20" s="1"/>
  <c r="L104" i="20"/>
  <c r="M103" i="20"/>
  <c r="A104" i="20"/>
  <c r="B103" i="20"/>
  <c r="C103" i="20"/>
  <c r="E94" i="19"/>
  <c r="F94" i="19" s="1"/>
  <c r="B95" i="19"/>
  <c r="C95" i="19"/>
  <c r="D95" i="19"/>
  <c r="F93" i="19"/>
  <c r="G93" i="19"/>
  <c r="G93" i="16"/>
  <c r="F93" i="16"/>
  <c r="K94" i="19"/>
  <c r="L93" i="19"/>
  <c r="M93" i="19"/>
  <c r="H95" i="19"/>
  <c r="I95" i="19"/>
  <c r="J95" i="19"/>
  <c r="A96" i="19"/>
  <c r="L97" i="18"/>
  <c r="M97" i="18"/>
  <c r="I98" i="18"/>
  <c r="K98" i="18" s="1"/>
  <c r="E94" i="16"/>
  <c r="D95" i="16"/>
  <c r="B95" i="16"/>
  <c r="C95" i="16"/>
  <c r="M93" i="17"/>
  <c r="K94" i="16"/>
  <c r="M94" i="16" s="1"/>
  <c r="K94" i="17"/>
  <c r="H95" i="17"/>
  <c r="I95" i="17"/>
  <c r="J95" i="17"/>
  <c r="A96" i="17"/>
  <c r="I95" i="16"/>
  <c r="J95" i="16"/>
  <c r="A96" i="16"/>
  <c r="H95" i="16"/>
  <c r="L93" i="16"/>
  <c r="M93" i="16"/>
  <c r="C96" i="18" l="1"/>
  <c r="E96" i="18" s="1"/>
  <c r="A97" i="18"/>
  <c r="F95" i="18"/>
  <c r="G95" i="18"/>
  <c r="E95" i="17"/>
  <c r="F95" i="17" s="1"/>
  <c r="B96" i="17"/>
  <c r="C96" i="17"/>
  <c r="D96" i="17"/>
  <c r="G94" i="17"/>
  <c r="F94" i="17"/>
  <c r="D103" i="20"/>
  <c r="G103" i="20" s="1"/>
  <c r="H103" i="20"/>
  <c r="K103" i="20" s="1"/>
  <c r="P103" i="20"/>
  <c r="Q103" i="20" s="1"/>
  <c r="N103" i="20"/>
  <c r="O103" i="20" s="1"/>
  <c r="L105" i="20"/>
  <c r="M104" i="20"/>
  <c r="N104" i="20" s="1"/>
  <c r="O104" i="20" s="1"/>
  <c r="A105" i="20"/>
  <c r="B104" i="20"/>
  <c r="C104" i="20"/>
  <c r="G94" i="19"/>
  <c r="B96" i="19"/>
  <c r="C96" i="19"/>
  <c r="D96" i="19"/>
  <c r="E95" i="19"/>
  <c r="K95" i="19"/>
  <c r="L95" i="19" s="1"/>
  <c r="G94" i="16"/>
  <c r="F94" i="16"/>
  <c r="I96" i="19"/>
  <c r="A97" i="19"/>
  <c r="J96" i="19"/>
  <c r="H96" i="19"/>
  <c r="M94" i="19"/>
  <c r="L94" i="19"/>
  <c r="I99" i="18"/>
  <c r="K99" i="18" s="1"/>
  <c r="M98" i="18"/>
  <c r="L98" i="18"/>
  <c r="B96" i="16"/>
  <c r="C96" i="16"/>
  <c r="D96" i="16"/>
  <c r="E95" i="16"/>
  <c r="L94" i="16"/>
  <c r="K95" i="17"/>
  <c r="H96" i="17"/>
  <c r="I96" i="17"/>
  <c r="J96" i="17"/>
  <c r="A97" i="17"/>
  <c r="M94" i="17"/>
  <c r="L94" i="17"/>
  <c r="K95" i="16"/>
  <c r="H96" i="16"/>
  <c r="I96" i="16"/>
  <c r="J96" i="16"/>
  <c r="A97" i="16"/>
  <c r="G95" i="17" l="1"/>
  <c r="C97" i="18"/>
  <c r="E97" i="18" s="1"/>
  <c r="A98" i="18"/>
  <c r="F96" i="18"/>
  <c r="G96" i="18"/>
  <c r="C97" i="17"/>
  <c r="D97" i="17"/>
  <c r="B97" i="17"/>
  <c r="E96" i="17"/>
  <c r="D104" i="20"/>
  <c r="G104" i="20" s="1"/>
  <c r="H104" i="20"/>
  <c r="K104" i="20" s="1"/>
  <c r="L106" i="20"/>
  <c r="M105" i="20"/>
  <c r="A106" i="20"/>
  <c r="B105" i="20"/>
  <c r="C105" i="20"/>
  <c r="G95" i="19"/>
  <c r="F95" i="19"/>
  <c r="C97" i="19"/>
  <c r="D97" i="19"/>
  <c r="B97" i="19"/>
  <c r="E96" i="19"/>
  <c r="M95" i="19"/>
  <c r="G95" i="16"/>
  <c r="F95" i="16"/>
  <c r="K96" i="19"/>
  <c r="J97" i="19"/>
  <c r="A98" i="19"/>
  <c r="H97" i="19"/>
  <c r="I97" i="19"/>
  <c r="I100" i="18"/>
  <c r="K100" i="18" s="1"/>
  <c r="L99" i="18"/>
  <c r="M99" i="18"/>
  <c r="E96" i="16"/>
  <c r="B97" i="16"/>
  <c r="C97" i="16"/>
  <c r="D97" i="16"/>
  <c r="K96" i="17"/>
  <c r="J97" i="17"/>
  <c r="A98" i="17"/>
  <c r="H97" i="17"/>
  <c r="I97" i="17"/>
  <c r="L95" i="17"/>
  <c r="M95" i="17"/>
  <c r="K96" i="16"/>
  <c r="H97" i="16"/>
  <c r="I97" i="16"/>
  <c r="J97" i="16"/>
  <c r="A98" i="16"/>
  <c r="M95" i="16"/>
  <c r="L95" i="16"/>
  <c r="C98" i="18" l="1"/>
  <c r="E98" i="18" s="1"/>
  <c r="A99" i="18"/>
  <c r="F97" i="18"/>
  <c r="G97" i="18"/>
  <c r="E97" i="17"/>
  <c r="F97" i="17" s="1"/>
  <c r="D98" i="17"/>
  <c r="B98" i="17"/>
  <c r="C98" i="17"/>
  <c r="F96" i="17"/>
  <c r="G96" i="17"/>
  <c r="D105" i="20"/>
  <c r="G105" i="20" s="1"/>
  <c r="H105" i="20"/>
  <c r="K105" i="20" s="1"/>
  <c r="P105" i="20"/>
  <c r="Q105" i="20" s="1"/>
  <c r="N105" i="20"/>
  <c r="O105" i="20" s="1"/>
  <c r="L107" i="20"/>
  <c r="M106" i="20"/>
  <c r="N106" i="20" s="1"/>
  <c r="O106" i="20" s="1"/>
  <c r="A107" i="20"/>
  <c r="B106" i="20"/>
  <c r="C106" i="20"/>
  <c r="D98" i="19"/>
  <c r="B98" i="19"/>
  <c r="C98" i="19"/>
  <c r="E97" i="19"/>
  <c r="G96" i="19"/>
  <c r="F96" i="19"/>
  <c r="G96" i="16"/>
  <c r="F96" i="16"/>
  <c r="I98" i="19"/>
  <c r="J98" i="19"/>
  <c r="A99" i="19"/>
  <c r="H98" i="19"/>
  <c r="K97" i="19"/>
  <c r="M96" i="19"/>
  <c r="L96" i="19"/>
  <c r="I101" i="18"/>
  <c r="K101" i="18" s="1"/>
  <c r="L100" i="18"/>
  <c r="M100" i="18"/>
  <c r="C98" i="16"/>
  <c r="D98" i="16"/>
  <c r="B98" i="16"/>
  <c r="E97" i="16"/>
  <c r="K97" i="17"/>
  <c r="L97" i="17" s="1"/>
  <c r="L96" i="17"/>
  <c r="M96" i="17"/>
  <c r="I98" i="17"/>
  <c r="J98" i="17"/>
  <c r="A99" i="17"/>
  <c r="H98" i="17"/>
  <c r="K97" i="16"/>
  <c r="L97" i="16" s="1"/>
  <c r="J98" i="16"/>
  <c r="A99" i="16"/>
  <c r="H98" i="16"/>
  <c r="I98" i="16"/>
  <c r="L96" i="16"/>
  <c r="M96" i="16"/>
  <c r="C99" i="18" l="1"/>
  <c r="E99" i="18" s="1"/>
  <c r="A100" i="18"/>
  <c r="F98" i="18"/>
  <c r="G98" i="18"/>
  <c r="G97" i="17"/>
  <c r="B99" i="17"/>
  <c r="C99" i="17"/>
  <c r="D99" i="17"/>
  <c r="E98" i="17"/>
  <c r="D106" i="20"/>
  <c r="G106" i="20" s="1"/>
  <c r="H106" i="20"/>
  <c r="K106" i="20" s="1"/>
  <c r="L108" i="20"/>
  <c r="M107" i="20"/>
  <c r="A108" i="20"/>
  <c r="C107" i="20"/>
  <c r="B107" i="20"/>
  <c r="F97" i="19"/>
  <c r="G97" i="19"/>
  <c r="B99" i="19"/>
  <c r="C99" i="19"/>
  <c r="D99" i="19"/>
  <c r="E98" i="19"/>
  <c r="G97" i="16"/>
  <c r="F97" i="16"/>
  <c r="H99" i="19"/>
  <c r="I99" i="19"/>
  <c r="J99" i="19"/>
  <c r="A100" i="19"/>
  <c r="K98" i="19"/>
  <c r="L97" i="19"/>
  <c r="M97" i="19"/>
  <c r="L101" i="18"/>
  <c r="M101" i="18"/>
  <c r="I102" i="18"/>
  <c r="K102" i="18" s="1"/>
  <c r="E98" i="16"/>
  <c r="D99" i="16"/>
  <c r="B99" i="16"/>
  <c r="C99" i="16"/>
  <c r="M97" i="17"/>
  <c r="H99" i="17"/>
  <c r="I99" i="17"/>
  <c r="J99" i="17"/>
  <c r="A100" i="17"/>
  <c r="K98" i="17"/>
  <c r="M97" i="16"/>
  <c r="K98" i="16"/>
  <c r="M98" i="16" s="1"/>
  <c r="I99" i="16"/>
  <c r="J99" i="16"/>
  <c r="A100" i="16"/>
  <c r="H99" i="16"/>
  <c r="C100" i="18" l="1"/>
  <c r="E100" i="18" s="1"/>
  <c r="A101" i="18"/>
  <c r="F99" i="18"/>
  <c r="G99" i="18"/>
  <c r="B100" i="17"/>
  <c r="C100" i="17"/>
  <c r="D100" i="17"/>
  <c r="F98" i="17"/>
  <c r="G98" i="17"/>
  <c r="E99" i="17"/>
  <c r="D107" i="20"/>
  <c r="G107" i="20" s="1"/>
  <c r="H107" i="20"/>
  <c r="K107" i="20" s="1"/>
  <c r="P107" i="20"/>
  <c r="Q107" i="20" s="1"/>
  <c r="N107" i="20"/>
  <c r="O107" i="20" s="1"/>
  <c r="L109" i="20"/>
  <c r="M108" i="20"/>
  <c r="N108" i="20" s="1"/>
  <c r="O108" i="20" s="1"/>
  <c r="A109" i="20"/>
  <c r="C108" i="20"/>
  <c r="B108" i="20"/>
  <c r="E99" i="19"/>
  <c r="F99" i="19" s="1"/>
  <c r="B100" i="19"/>
  <c r="C100" i="19"/>
  <c r="D100" i="19"/>
  <c r="K99" i="19"/>
  <c r="L99" i="19" s="1"/>
  <c r="G98" i="19"/>
  <c r="F98" i="19"/>
  <c r="L98" i="16"/>
  <c r="G98" i="16"/>
  <c r="F98" i="16"/>
  <c r="J100" i="19"/>
  <c r="H100" i="19"/>
  <c r="I100" i="19"/>
  <c r="A101" i="19"/>
  <c r="M98" i="19"/>
  <c r="L98" i="19"/>
  <c r="I103" i="18"/>
  <c r="K103" i="18" s="1"/>
  <c r="M102" i="18"/>
  <c r="L102" i="18"/>
  <c r="E99" i="16"/>
  <c r="B100" i="16"/>
  <c r="C100" i="16"/>
  <c r="D100" i="16"/>
  <c r="H100" i="17"/>
  <c r="I100" i="17"/>
  <c r="J100" i="17"/>
  <c r="A101" i="17"/>
  <c r="M98" i="17"/>
  <c r="L98" i="17"/>
  <c r="K99" i="17"/>
  <c r="K99" i="16"/>
  <c r="H100" i="16"/>
  <c r="I100" i="16"/>
  <c r="J100" i="16"/>
  <c r="A101" i="16"/>
  <c r="C101" i="18" l="1"/>
  <c r="E101" i="18" s="1"/>
  <c r="A102" i="18"/>
  <c r="F100" i="18"/>
  <c r="G100" i="18"/>
  <c r="E100" i="17"/>
  <c r="F100" i="17" s="1"/>
  <c r="C101" i="17"/>
  <c r="D101" i="17"/>
  <c r="B101" i="17"/>
  <c r="F99" i="17"/>
  <c r="G99" i="17"/>
  <c r="M99" i="19"/>
  <c r="G99" i="19"/>
  <c r="D108" i="20"/>
  <c r="G108" i="20" s="1"/>
  <c r="H108" i="20"/>
  <c r="K108" i="20" s="1"/>
  <c r="L110" i="20"/>
  <c r="M109" i="20"/>
  <c r="A110" i="20"/>
  <c r="B109" i="20"/>
  <c r="C109" i="20"/>
  <c r="E100" i="19"/>
  <c r="F100" i="19" s="1"/>
  <c r="C101" i="19"/>
  <c r="D101" i="19"/>
  <c r="B101" i="19"/>
  <c r="G99" i="16"/>
  <c r="F99" i="16"/>
  <c r="J101" i="19"/>
  <c r="A102" i="19"/>
  <c r="H101" i="19"/>
  <c r="I101" i="19"/>
  <c r="K100" i="19"/>
  <c r="I104" i="18"/>
  <c r="K104" i="18" s="1"/>
  <c r="L103" i="18"/>
  <c r="M103" i="18"/>
  <c r="B101" i="16"/>
  <c r="C101" i="16"/>
  <c r="D101" i="16"/>
  <c r="E100" i="16"/>
  <c r="J101" i="17"/>
  <c r="A102" i="17"/>
  <c r="H101" i="17"/>
  <c r="I101" i="17"/>
  <c r="L99" i="17"/>
  <c r="M99" i="17"/>
  <c r="K100" i="17"/>
  <c r="K100" i="16"/>
  <c r="H101" i="16"/>
  <c r="I101" i="16"/>
  <c r="A102" i="16"/>
  <c r="J101" i="16"/>
  <c r="M99" i="16"/>
  <c r="L99" i="16"/>
  <c r="G100" i="17" l="1"/>
  <c r="C102" i="18"/>
  <c r="E102" i="18" s="1"/>
  <c r="A103" i="18"/>
  <c r="F101" i="18"/>
  <c r="G101" i="18"/>
  <c r="E101" i="17"/>
  <c r="D102" i="17"/>
  <c r="B102" i="17"/>
  <c r="C102" i="17"/>
  <c r="E101" i="19"/>
  <c r="G101" i="19" s="1"/>
  <c r="G100" i="19"/>
  <c r="D109" i="20"/>
  <c r="G109" i="20" s="1"/>
  <c r="H109" i="20"/>
  <c r="K109" i="20" s="1"/>
  <c r="P109" i="20"/>
  <c r="Q109" i="20" s="1"/>
  <c r="N109" i="20"/>
  <c r="O109" i="20" s="1"/>
  <c r="L111" i="20"/>
  <c r="M110" i="20"/>
  <c r="N110" i="20" s="1"/>
  <c r="O110" i="20" s="1"/>
  <c r="A111" i="20"/>
  <c r="B110" i="20"/>
  <c r="C110" i="20"/>
  <c r="D102" i="19"/>
  <c r="B102" i="19"/>
  <c r="C102" i="19"/>
  <c r="G100" i="16"/>
  <c r="F100" i="16"/>
  <c r="L100" i="19"/>
  <c r="M100" i="19"/>
  <c r="K101" i="19"/>
  <c r="I102" i="19"/>
  <c r="H102" i="19"/>
  <c r="J102" i="19"/>
  <c r="A103" i="19"/>
  <c r="I105" i="18"/>
  <c r="K105" i="18" s="1"/>
  <c r="L104" i="18"/>
  <c r="M104" i="18"/>
  <c r="E101" i="16"/>
  <c r="C102" i="16"/>
  <c r="D102" i="16"/>
  <c r="B102" i="16"/>
  <c r="L100" i="17"/>
  <c r="M100" i="17"/>
  <c r="I102" i="17"/>
  <c r="J102" i="17"/>
  <c r="A103" i="17"/>
  <c r="H102" i="17"/>
  <c r="K101" i="17"/>
  <c r="J102" i="16"/>
  <c r="A103" i="16"/>
  <c r="H102" i="16"/>
  <c r="I102" i="16"/>
  <c r="K101" i="16"/>
  <c r="L100" i="16"/>
  <c r="M100" i="16"/>
  <c r="C103" i="18" l="1"/>
  <c r="E103" i="18" s="1"/>
  <c r="A104" i="18"/>
  <c r="F102" i="18"/>
  <c r="G102" i="18"/>
  <c r="B103" i="17"/>
  <c r="C103" i="17"/>
  <c r="D103" i="17"/>
  <c r="E102" i="17"/>
  <c r="F101" i="17"/>
  <c r="G101" i="17"/>
  <c r="F101" i="19"/>
  <c r="D110" i="20"/>
  <c r="G110" i="20" s="1"/>
  <c r="H110" i="20"/>
  <c r="K110" i="20" s="1"/>
  <c r="L112" i="20"/>
  <c r="M111" i="20"/>
  <c r="A112" i="20"/>
  <c r="C111" i="20"/>
  <c r="B111" i="20"/>
  <c r="B103" i="19"/>
  <c r="C103" i="19"/>
  <c r="D103" i="19"/>
  <c r="E102" i="19"/>
  <c r="G101" i="16"/>
  <c r="F101" i="16"/>
  <c r="H103" i="19"/>
  <c r="I103" i="19"/>
  <c r="J103" i="19"/>
  <c r="A104" i="19"/>
  <c r="M101" i="19"/>
  <c r="L101" i="19"/>
  <c r="K102" i="19"/>
  <c r="L105" i="18"/>
  <c r="M105" i="18"/>
  <c r="I106" i="18"/>
  <c r="K106" i="18" s="1"/>
  <c r="E102" i="16"/>
  <c r="D103" i="16"/>
  <c r="B103" i="16"/>
  <c r="C103" i="16"/>
  <c r="K102" i="16"/>
  <c r="M102" i="16" s="1"/>
  <c r="K102" i="17"/>
  <c r="H103" i="17"/>
  <c r="I103" i="17"/>
  <c r="J103" i="17"/>
  <c r="A104" i="17"/>
  <c r="L101" i="17"/>
  <c r="M101" i="17"/>
  <c r="I103" i="16"/>
  <c r="J103" i="16"/>
  <c r="A104" i="16"/>
  <c r="H103" i="16"/>
  <c r="L101" i="16"/>
  <c r="M101" i="16"/>
  <c r="C104" i="18" l="1"/>
  <c r="E104" i="18" s="1"/>
  <c r="A105" i="18"/>
  <c r="F103" i="18"/>
  <c r="G103" i="18"/>
  <c r="E103" i="17"/>
  <c r="F103" i="17" s="1"/>
  <c r="F102" i="17"/>
  <c r="G102" i="17"/>
  <c r="B104" i="17"/>
  <c r="C104" i="17"/>
  <c r="D104" i="17"/>
  <c r="L102" i="16"/>
  <c r="D111" i="20"/>
  <c r="G111" i="20" s="1"/>
  <c r="H111" i="20"/>
  <c r="K111" i="20" s="1"/>
  <c r="P111" i="20"/>
  <c r="Q111" i="20" s="1"/>
  <c r="N111" i="20"/>
  <c r="O111" i="20" s="1"/>
  <c r="L113" i="20"/>
  <c r="M112" i="20"/>
  <c r="N112" i="20" s="1"/>
  <c r="O112" i="20" s="1"/>
  <c r="A113" i="20"/>
  <c r="C112" i="20"/>
  <c r="B112" i="20"/>
  <c r="F102" i="19"/>
  <c r="G102" i="19"/>
  <c r="B104" i="19"/>
  <c r="C104" i="19"/>
  <c r="D104" i="19"/>
  <c r="E103" i="19"/>
  <c r="K103" i="19"/>
  <c r="M103" i="19" s="1"/>
  <c r="E103" i="16"/>
  <c r="G102" i="16"/>
  <c r="F102" i="16"/>
  <c r="H104" i="19"/>
  <c r="I104" i="19"/>
  <c r="J104" i="19"/>
  <c r="A105" i="19"/>
  <c r="M102" i="19"/>
  <c r="L102" i="19"/>
  <c r="I107" i="18"/>
  <c r="K107" i="18" s="1"/>
  <c r="M106" i="18"/>
  <c r="L106" i="18"/>
  <c r="B104" i="16"/>
  <c r="C104" i="16"/>
  <c r="D104" i="16"/>
  <c r="K103" i="17"/>
  <c r="I104" i="17"/>
  <c r="J104" i="17"/>
  <c r="A105" i="17"/>
  <c r="H104" i="17"/>
  <c r="M102" i="17"/>
  <c r="L102" i="17"/>
  <c r="K103" i="16"/>
  <c r="H104" i="16"/>
  <c r="I104" i="16"/>
  <c r="J104" i="16"/>
  <c r="A105" i="16"/>
  <c r="C105" i="18" l="1"/>
  <c r="E105" i="18" s="1"/>
  <c r="A106" i="18"/>
  <c r="F104" i="18"/>
  <c r="G104" i="18"/>
  <c r="G103" i="17"/>
  <c r="C105" i="17"/>
  <c r="D105" i="17"/>
  <c r="B105" i="17"/>
  <c r="E104" i="17"/>
  <c r="L103" i="19"/>
  <c r="D112" i="20"/>
  <c r="G112" i="20" s="1"/>
  <c r="H112" i="20"/>
  <c r="K112" i="20" s="1"/>
  <c r="L114" i="20"/>
  <c r="M113" i="20"/>
  <c r="A114" i="20"/>
  <c r="B113" i="20"/>
  <c r="C113" i="20"/>
  <c r="C105" i="19"/>
  <c r="D105" i="19"/>
  <c r="B105" i="19"/>
  <c r="F103" i="19"/>
  <c r="G103" i="19"/>
  <c r="E104" i="19"/>
  <c r="G103" i="16"/>
  <c r="F103" i="16"/>
  <c r="J105" i="19"/>
  <c r="A106" i="19"/>
  <c r="H105" i="19"/>
  <c r="I105" i="19"/>
  <c r="K104" i="19"/>
  <c r="I108" i="18"/>
  <c r="K108" i="18" s="1"/>
  <c r="L107" i="18"/>
  <c r="M107" i="18"/>
  <c r="B105" i="16"/>
  <c r="C105" i="16"/>
  <c r="D105" i="16"/>
  <c r="E104" i="16"/>
  <c r="H105" i="17"/>
  <c r="I105" i="17"/>
  <c r="A106" i="17"/>
  <c r="J105" i="17"/>
  <c r="K104" i="17"/>
  <c r="M103" i="17"/>
  <c r="L103" i="17"/>
  <c r="K104" i="16"/>
  <c r="H105" i="16"/>
  <c r="I105" i="16"/>
  <c r="J105" i="16"/>
  <c r="A106" i="16"/>
  <c r="M103" i="16"/>
  <c r="L103" i="16"/>
  <c r="C106" i="18" l="1"/>
  <c r="E106" i="18" s="1"/>
  <c r="A107" i="18"/>
  <c r="G105" i="18"/>
  <c r="F105" i="18"/>
  <c r="E105" i="17"/>
  <c r="G105" i="17" s="1"/>
  <c r="D106" i="17"/>
  <c r="B106" i="17"/>
  <c r="C106" i="17"/>
  <c r="F104" i="17"/>
  <c r="G104" i="17"/>
  <c r="D113" i="20"/>
  <c r="G113" i="20" s="1"/>
  <c r="H113" i="20"/>
  <c r="K113" i="20" s="1"/>
  <c r="P113" i="20"/>
  <c r="Q113" i="20" s="1"/>
  <c r="N113" i="20"/>
  <c r="O113" i="20" s="1"/>
  <c r="L115" i="20"/>
  <c r="M114" i="20"/>
  <c r="N114" i="20" s="1"/>
  <c r="O114" i="20" s="1"/>
  <c r="A115" i="20"/>
  <c r="B114" i="20"/>
  <c r="C114" i="20"/>
  <c r="D106" i="19"/>
  <c r="B106" i="19"/>
  <c r="C106" i="19"/>
  <c r="G104" i="19"/>
  <c r="F104" i="19"/>
  <c r="E105" i="19"/>
  <c r="G104" i="16"/>
  <c r="F104" i="16"/>
  <c r="L104" i="19"/>
  <c r="M104" i="19"/>
  <c r="K105" i="19"/>
  <c r="I106" i="19"/>
  <c r="J106" i="19"/>
  <c r="A107" i="19"/>
  <c r="H106" i="19"/>
  <c r="I109" i="18"/>
  <c r="K109" i="18" s="1"/>
  <c r="L108" i="18"/>
  <c r="M108" i="18"/>
  <c r="E105" i="16"/>
  <c r="C106" i="16"/>
  <c r="D106" i="16"/>
  <c r="B106" i="16"/>
  <c r="K105" i="17"/>
  <c r="M104" i="17"/>
  <c r="L104" i="17"/>
  <c r="H106" i="17"/>
  <c r="J106" i="17"/>
  <c r="A107" i="17"/>
  <c r="I106" i="17"/>
  <c r="K105" i="16"/>
  <c r="J106" i="16"/>
  <c r="A107" i="16"/>
  <c r="H106" i="16"/>
  <c r="I106" i="16"/>
  <c r="L104" i="16"/>
  <c r="M104" i="16"/>
  <c r="C107" i="18" l="1"/>
  <c r="E107" i="18" s="1"/>
  <c r="A108" i="18"/>
  <c r="F106" i="18"/>
  <c r="G106" i="18"/>
  <c r="F105" i="17"/>
  <c r="B107" i="17"/>
  <c r="C107" i="17"/>
  <c r="D107" i="17"/>
  <c r="E106" i="17"/>
  <c r="D114" i="20"/>
  <c r="G114" i="20" s="1"/>
  <c r="H114" i="20"/>
  <c r="K114" i="20" s="1"/>
  <c r="L116" i="20"/>
  <c r="M115" i="20"/>
  <c r="A116" i="20"/>
  <c r="C115" i="20"/>
  <c r="B115" i="20"/>
  <c r="B107" i="19"/>
  <c r="C107" i="19"/>
  <c r="D107" i="19"/>
  <c r="F105" i="19"/>
  <c r="G105" i="19"/>
  <c r="E106" i="19"/>
  <c r="G105" i="16"/>
  <c r="F105" i="16"/>
  <c r="K106" i="19"/>
  <c r="L105" i="19"/>
  <c r="M105" i="19"/>
  <c r="H107" i="19"/>
  <c r="I107" i="19"/>
  <c r="J107" i="19"/>
  <c r="A108" i="19"/>
  <c r="L109" i="18"/>
  <c r="M109" i="18"/>
  <c r="I110" i="18"/>
  <c r="K110" i="18" s="1"/>
  <c r="E106" i="16"/>
  <c r="D107" i="16"/>
  <c r="B107" i="16"/>
  <c r="C107" i="16"/>
  <c r="J107" i="17"/>
  <c r="A108" i="17"/>
  <c r="I107" i="17"/>
  <c r="H107" i="17"/>
  <c r="K106" i="17"/>
  <c r="L105" i="17"/>
  <c r="M105" i="17"/>
  <c r="K106" i="16"/>
  <c r="I107" i="16"/>
  <c r="J107" i="16"/>
  <c r="A108" i="16"/>
  <c r="H107" i="16"/>
  <c r="L105" i="16"/>
  <c r="M105" i="16"/>
  <c r="C108" i="18" l="1"/>
  <c r="E108" i="18" s="1"/>
  <c r="A109" i="18"/>
  <c r="F107" i="18"/>
  <c r="G107" i="18"/>
  <c r="B108" i="17"/>
  <c r="C108" i="17"/>
  <c r="D108" i="17"/>
  <c r="G106" i="17"/>
  <c r="F106" i="17"/>
  <c r="E107" i="17"/>
  <c r="D115" i="20"/>
  <c r="G115" i="20" s="1"/>
  <c r="H115" i="20"/>
  <c r="K115" i="20" s="1"/>
  <c r="P115" i="20"/>
  <c r="Q115" i="20" s="1"/>
  <c r="N115" i="20"/>
  <c r="O115" i="20" s="1"/>
  <c r="L117" i="20"/>
  <c r="M116" i="20"/>
  <c r="N116" i="20" s="1"/>
  <c r="O116" i="20" s="1"/>
  <c r="A117" i="20"/>
  <c r="C116" i="20"/>
  <c r="B116" i="20"/>
  <c r="B108" i="19"/>
  <c r="C108" i="19"/>
  <c r="D108" i="19"/>
  <c r="G106" i="19"/>
  <c r="F106" i="19"/>
  <c r="E107" i="19"/>
  <c r="E107" i="16"/>
  <c r="G106" i="16"/>
  <c r="F106" i="16"/>
  <c r="H108" i="19"/>
  <c r="I108" i="19"/>
  <c r="A109" i="19"/>
  <c r="J108" i="19"/>
  <c r="M106" i="19"/>
  <c r="L106" i="19"/>
  <c r="K107" i="19"/>
  <c r="I111" i="18"/>
  <c r="K111" i="18" s="1"/>
  <c r="M110" i="18"/>
  <c r="L110" i="18"/>
  <c r="B108" i="16"/>
  <c r="C108" i="16"/>
  <c r="D108" i="16"/>
  <c r="K107" i="16"/>
  <c r="L107" i="16" s="1"/>
  <c r="I108" i="17"/>
  <c r="J108" i="17"/>
  <c r="A109" i="17"/>
  <c r="H108" i="17"/>
  <c r="L106" i="17"/>
  <c r="M106" i="17"/>
  <c r="K107" i="17"/>
  <c r="H108" i="16"/>
  <c r="I108" i="16"/>
  <c r="J108" i="16"/>
  <c r="A109" i="16"/>
  <c r="L106" i="16"/>
  <c r="M106" i="16"/>
  <c r="C109" i="18" l="1"/>
  <c r="E109" i="18" s="1"/>
  <c r="A110" i="18"/>
  <c r="F108" i="18"/>
  <c r="G108" i="18"/>
  <c r="E108" i="17"/>
  <c r="F108" i="17" s="1"/>
  <c r="C109" i="17"/>
  <c r="D109" i="17"/>
  <c r="B109" i="17"/>
  <c r="F107" i="17"/>
  <c r="G107" i="17"/>
  <c r="M107" i="16"/>
  <c r="D116" i="20"/>
  <c r="G116" i="20" s="1"/>
  <c r="H116" i="20"/>
  <c r="K116" i="20" s="1"/>
  <c r="L118" i="20"/>
  <c r="M117" i="20"/>
  <c r="A118" i="20"/>
  <c r="B117" i="20"/>
  <c r="C117" i="20"/>
  <c r="B109" i="19"/>
  <c r="C109" i="19"/>
  <c r="D109" i="19"/>
  <c r="E108" i="19"/>
  <c r="F107" i="19"/>
  <c r="G107" i="19"/>
  <c r="E108" i="16"/>
  <c r="G107" i="16"/>
  <c r="F107" i="16"/>
  <c r="K108" i="19"/>
  <c r="L107" i="19"/>
  <c r="M107" i="19"/>
  <c r="J109" i="19"/>
  <c r="A110" i="19"/>
  <c r="H109" i="19"/>
  <c r="I109" i="19"/>
  <c r="I112" i="18"/>
  <c r="K112" i="18" s="1"/>
  <c r="L111" i="18"/>
  <c r="M111" i="18"/>
  <c r="B109" i="16"/>
  <c r="C109" i="16"/>
  <c r="D109" i="16"/>
  <c r="K108" i="17"/>
  <c r="M108" i="17" s="1"/>
  <c r="L107" i="17"/>
  <c r="M107" i="17"/>
  <c r="H109" i="17"/>
  <c r="I109" i="17"/>
  <c r="A110" i="17"/>
  <c r="J109" i="17"/>
  <c r="K108" i="16"/>
  <c r="L108" i="16" s="1"/>
  <c r="H109" i="16"/>
  <c r="I109" i="16"/>
  <c r="A110" i="16"/>
  <c r="J109" i="16"/>
  <c r="G109" i="18" l="1"/>
  <c r="F109" i="18"/>
  <c r="C110" i="18"/>
  <c r="E110" i="18" s="1"/>
  <c r="A111" i="18"/>
  <c r="G108" i="17"/>
  <c r="D110" i="17"/>
  <c r="B110" i="17"/>
  <c r="C110" i="17"/>
  <c r="E109" i="17"/>
  <c r="D117" i="20"/>
  <c r="G117" i="20" s="1"/>
  <c r="H117" i="20"/>
  <c r="K117" i="20" s="1"/>
  <c r="P117" i="20"/>
  <c r="Q117" i="20" s="1"/>
  <c r="N117" i="20"/>
  <c r="O117" i="20" s="1"/>
  <c r="L119" i="20"/>
  <c r="M118" i="20"/>
  <c r="N118" i="20" s="1"/>
  <c r="O118" i="20" s="1"/>
  <c r="A119" i="20"/>
  <c r="B118" i="20"/>
  <c r="C118" i="20"/>
  <c r="G108" i="19"/>
  <c r="F108" i="19"/>
  <c r="E109" i="19"/>
  <c r="C110" i="19"/>
  <c r="D110" i="19"/>
  <c r="B110" i="19"/>
  <c r="G108" i="16"/>
  <c r="F108" i="16"/>
  <c r="I110" i="19"/>
  <c r="J110" i="19"/>
  <c r="A111" i="19"/>
  <c r="H110" i="19"/>
  <c r="L108" i="19"/>
  <c r="M108" i="19"/>
  <c r="K109" i="19"/>
  <c r="I113" i="18"/>
  <c r="K113" i="18" s="1"/>
  <c r="L112" i="18"/>
  <c r="M112" i="18"/>
  <c r="E109" i="16"/>
  <c r="C110" i="16"/>
  <c r="D110" i="16"/>
  <c r="B110" i="16"/>
  <c r="K109" i="17"/>
  <c r="L109" i="17" s="1"/>
  <c r="L108" i="17"/>
  <c r="M108" i="16"/>
  <c r="H110" i="17"/>
  <c r="J110" i="17"/>
  <c r="A111" i="17"/>
  <c r="I110" i="17"/>
  <c r="K109" i="16"/>
  <c r="M109" i="16" s="1"/>
  <c r="J110" i="16"/>
  <c r="A111" i="16"/>
  <c r="H110" i="16"/>
  <c r="I110" i="16"/>
  <c r="C111" i="18" l="1"/>
  <c r="E111" i="18" s="1"/>
  <c r="A112" i="18"/>
  <c r="F110" i="18"/>
  <c r="G110" i="18"/>
  <c r="E110" i="17"/>
  <c r="F110" i="17" s="1"/>
  <c r="F109" i="17"/>
  <c r="G109" i="17"/>
  <c r="B111" i="17"/>
  <c r="C111" i="17"/>
  <c r="D111" i="17"/>
  <c r="D118" i="20"/>
  <c r="G118" i="20" s="1"/>
  <c r="H118" i="20"/>
  <c r="K118" i="20" s="1"/>
  <c r="L120" i="20"/>
  <c r="M119" i="20"/>
  <c r="A120" i="20"/>
  <c r="C119" i="20"/>
  <c r="B119" i="20"/>
  <c r="E110" i="19"/>
  <c r="F110" i="19" s="1"/>
  <c r="D111" i="19"/>
  <c r="B111" i="19"/>
  <c r="C111" i="19"/>
  <c r="G109" i="19"/>
  <c r="F109" i="19"/>
  <c r="G109" i="16"/>
  <c r="F109" i="16"/>
  <c r="L109" i="19"/>
  <c r="M109" i="19"/>
  <c r="H111" i="19"/>
  <c r="I111" i="19"/>
  <c r="J111" i="19"/>
  <c r="A112" i="19"/>
  <c r="K110" i="19"/>
  <c r="L113" i="18"/>
  <c r="M113" i="18"/>
  <c r="I114" i="18"/>
  <c r="K114" i="18" s="1"/>
  <c r="E110" i="16"/>
  <c r="D111" i="16"/>
  <c r="B111" i="16"/>
  <c r="C111" i="16"/>
  <c r="M109" i="17"/>
  <c r="K110" i="17"/>
  <c r="H111" i="17"/>
  <c r="I111" i="17"/>
  <c r="J111" i="17"/>
  <c r="A112" i="17"/>
  <c r="L109" i="16"/>
  <c r="K110" i="16"/>
  <c r="L110" i="16" s="1"/>
  <c r="I111" i="16"/>
  <c r="J111" i="16"/>
  <c r="A112" i="16"/>
  <c r="H111" i="16"/>
  <c r="C112" i="18" l="1"/>
  <c r="E112" i="18" s="1"/>
  <c r="A113" i="18"/>
  <c r="G111" i="18"/>
  <c r="F111" i="18"/>
  <c r="G110" i="17"/>
  <c r="E111" i="17"/>
  <c r="G111" i="17" s="1"/>
  <c r="B112" i="17"/>
  <c r="C112" i="17"/>
  <c r="D112" i="17"/>
  <c r="F111" i="17"/>
  <c r="D119" i="20"/>
  <c r="G119" i="20" s="1"/>
  <c r="H119" i="20"/>
  <c r="K119" i="20" s="1"/>
  <c r="L121" i="20"/>
  <c r="M120" i="20"/>
  <c r="N120" i="20" s="1"/>
  <c r="O120" i="20" s="1"/>
  <c r="P119" i="20"/>
  <c r="Q119" i="20" s="1"/>
  <c r="N119" i="20"/>
  <c r="O119" i="20" s="1"/>
  <c r="A121" i="20"/>
  <c r="C120" i="20"/>
  <c r="B120" i="20"/>
  <c r="G110" i="19"/>
  <c r="E111" i="19"/>
  <c r="F111" i="19" s="1"/>
  <c r="B112" i="19"/>
  <c r="C112" i="19"/>
  <c r="D112" i="19"/>
  <c r="E111" i="16"/>
  <c r="G110" i="16"/>
  <c r="F110" i="16"/>
  <c r="K111" i="19"/>
  <c r="M110" i="19"/>
  <c r="L110" i="19"/>
  <c r="H112" i="19"/>
  <c r="I112" i="19"/>
  <c r="J112" i="19"/>
  <c r="A113" i="19"/>
  <c r="I115" i="18"/>
  <c r="K115" i="18" s="1"/>
  <c r="M114" i="18"/>
  <c r="L114" i="18"/>
  <c r="B112" i="16"/>
  <c r="C112" i="16"/>
  <c r="D112" i="16"/>
  <c r="K111" i="17"/>
  <c r="H112" i="17"/>
  <c r="I112" i="17"/>
  <c r="J112" i="17"/>
  <c r="A113" i="17"/>
  <c r="L110" i="17"/>
  <c r="M110" i="17"/>
  <c r="M110" i="16"/>
  <c r="H112" i="16"/>
  <c r="I112" i="16"/>
  <c r="J112" i="16"/>
  <c r="A113" i="16"/>
  <c r="K111" i="16"/>
  <c r="C113" i="18" l="1"/>
  <c r="E113" i="18" s="1"/>
  <c r="A114" i="18"/>
  <c r="G112" i="18"/>
  <c r="F112" i="18"/>
  <c r="E112" i="17"/>
  <c r="F112" i="17" s="1"/>
  <c r="C113" i="17"/>
  <c r="D113" i="17"/>
  <c r="B113" i="17"/>
  <c r="D120" i="20"/>
  <c r="G120" i="20" s="1"/>
  <c r="H120" i="20"/>
  <c r="K120" i="20" s="1"/>
  <c r="K112" i="19"/>
  <c r="L112" i="19" s="1"/>
  <c r="L122" i="20"/>
  <c r="M121" i="20"/>
  <c r="A122" i="20"/>
  <c r="B121" i="20"/>
  <c r="C121" i="20"/>
  <c r="G111" i="19"/>
  <c r="E112" i="19"/>
  <c r="F112" i="19" s="1"/>
  <c r="B113" i="19"/>
  <c r="C113" i="19"/>
  <c r="D113" i="19"/>
  <c r="E112" i="16"/>
  <c r="G111" i="16"/>
  <c r="F111" i="16"/>
  <c r="J113" i="19"/>
  <c r="A114" i="19"/>
  <c r="H113" i="19"/>
  <c r="I113" i="19"/>
  <c r="L111" i="19"/>
  <c r="M111" i="19"/>
  <c r="I116" i="18"/>
  <c r="K116" i="18" s="1"/>
  <c r="L115" i="18"/>
  <c r="M115" i="18"/>
  <c r="B113" i="16"/>
  <c r="C113" i="16"/>
  <c r="D113" i="16"/>
  <c r="K112" i="17"/>
  <c r="J113" i="17"/>
  <c r="A114" i="17"/>
  <c r="H113" i="17"/>
  <c r="I113" i="17"/>
  <c r="L111" i="17"/>
  <c r="M111" i="17"/>
  <c r="K112" i="16"/>
  <c r="L112" i="16" s="1"/>
  <c r="H113" i="16"/>
  <c r="I113" i="16"/>
  <c r="J113" i="16"/>
  <c r="A114" i="16"/>
  <c r="M111" i="16"/>
  <c r="L111" i="16"/>
  <c r="C114" i="18" l="1"/>
  <c r="E114" i="18" s="1"/>
  <c r="A115" i="18"/>
  <c r="G113" i="18"/>
  <c r="F113" i="18"/>
  <c r="G112" i="17"/>
  <c r="D114" i="17"/>
  <c r="B114" i="17"/>
  <c r="C114" i="17"/>
  <c r="E113" i="17"/>
  <c r="G112" i="19"/>
  <c r="M112" i="19"/>
  <c r="E113" i="19"/>
  <c r="F113" i="19" s="1"/>
  <c r="D121" i="20"/>
  <c r="G121" i="20" s="1"/>
  <c r="H121" i="20"/>
  <c r="K121" i="20" s="1"/>
  <c r="P121" i="20"/>
  <c r="Q121" i="20" s="1"/>
  <c r="N121" i="20"/>
  <c r="O121" i="20" s="1"/>
  <c r="L123" i="20"/>
  <c r="M122" i="20"/>
  <c r="N122" i="20" s="1"/>
  <c r="O122" i="20" s="1"/>
  <c r="A123" i="20"/>
  <c r="B122" i="20"/>
  <c r="C122" i="20"/>
  <c r="B114" i="19"/>
  <c r="C114" i="19"/>
  <c r="D114" i="19"/>
  <c r="E113" i="16"/>
  <c r="G112" i="16"/>
  <c r="F112" i="16"/>
  <c r="I114" i="19"/>
  <c r="J114" i="19"/>
  <c r="A115" i="19"/>
  <c r="H114" i="19"/>
  <c r="K113" i="19"/>
  <c r="I117" i="18"/>
  <c r="K117" i="18" s="1"/>
  <c r="L116" i="18"/>
  <c r="M116" i="18"/>
  <c r="C114" i="16"/>
  <c r="D114" i="16"/>
  <c r="B114" i="16"/>
  <c r="M112" i="16"/>
  <c r="K113" i="17"/>
  <c r="L113" i="17" s="1"/>
  <c r="L112" i="17"/>
  <c r="M112" i="17"/>
  <c r="I114" i="17"/>
  <c r="J114" i="17"/>
  <c r="A115" i="17"/>
  <c r="H114" i="17"/>
  <c r="K113" i="16"/>
  <c r="L113" i="16" s="1"/>
  <c r="J114" i="16"/>
  <c r="A115" i="16"/>
  <c r="H114" i="16"/>
  <c r="I114" i="16"/>
  <c r="C115" i="18" l="1"/>
  <c r="E115" i="18" s="1"/>
  <c r="A116" i="18"/>
  <c r="F114" i="18"/>
  <c r="G114" i="18"/>
  <c r="E114" i="17"/>
  <c r="G113" i="17"/>
  <c r="F113" i="17"/>
  <c r="B115" i="17"/>
  <c r="C115" i="17"/>
  <c r="D115" i="17"/>
  <c r="G113" i="19"/>
  <c r="D122" i="20"/>
  <c r="G122" i="20" s="1"/>
  <c r="H122" i="20"/>
  <c r="K122" i="20" s="1"/>
  <c r="L124" i="20"/>
  <c r="M123" i="20"/>
  <c r="A124" i="20"/>
  <c r="C123" i="20"/>
  <c r="B123" i="20"/>
  <c r="E114" i="19"/>
  <c r="F114" i="19" s="1"/>
  <c r="B115" i="19"/>
  <c r="C115" i="19"/>
  <c r="D115" i="19"/>
  <c r="G113" i="16"/>
  <c r="F113" i="16"/>
  <c r="L113" i="19"/>
  <c r="M113" i="19"/>
  <c r="H115" i="19"/>
  <c r="I115" i="19"/>
  <c r="J115" i="19"/>
  <c r="A116" i="19"/>
  <c r="K114" i="19"/>
  <c r="L117" i="18"/>
  <c r="M117" i="18"/>
  <c r="I118" i="18"/>
  <c r="K118" i="18" s="1"/>
  <c r="E114" i="16"/>
  <c r="D115" i="16"/>
  <c r="B115" i="16"/>
  <c r="C115" i="16"/>
  <c r="M113" i="17"/>
  <c r="H115" i="17"/>
  <c r="I115" i="17"/>
  <c r="J115" i="17"/>
  <c r="A116" i="17"/>
  <c r="K114" i="17"/>
  <c r="K114" i="16"/>
  <c r="L114" i="16" s="1"/>
  <c r="M113" i="16"/>
  <c r="I115" i="16"/>
  <c r="J115" i="16"/>
  <c r="A116" i="16"/>
  <c r="H115" i="16"/>
  <c r="C116" i="18" l="1"/>
  <c r="E116" i="18" s="1"/>
  <c r="A117" i="18"/>
  <c r="F115" i="18"/>
  <c r="G115" i="18"/>
  <c r="G114" i="17"/>
  <c r="F114" i="17"/>
  <c r="B116" i="17"/>
  <c r="C116" i="17"/>
  <c r="D116" i="17"/>
  <c r="E115" i="17"/>
  <c r="G114" i="19"/>
  <c r="D123" i="20"/>
  <c r="G123" i="20" s="1"/>
  <c r="H123" i="20"/>
  <c r="K123" i="20" s="1"/>
  <c r="P123" i="20"/>
  <c r="Q123" i="20" s="1"/>
  <c r="N123" i="20"/>
  <c r="O123" i="20" s="1"/>
  <c r="L125" i="20"/>
  <c r="M124" i="20"/>
  <c r="N124" i="20" s="1"/>
  <c r="O124" i="20" s="1"/>
  <c r="A125" i="20"/>
  <c r="C124" i="20"/>
  <c r="B124" i="20"/>
  <c r="E115" i="19"/>
  <c r="F115" i="19" s="1"/>
  <c r="C116" i="19"/>
  <c r="D116" i="19"/>
  <c r="B116" i="19"/>
  <c r="E115" i="16"/>
  <c r="G114" i="16"/>
  <c r="F114" i="16"/>
  <c r="M114" i="19"/>
  <c r="L114" i="19"/>
  <c r="H116" i="19"/>
  <c r="I116" i="19"/>
  <c r="A117" i="19"/>
  <c r="J116" i="19"/>
  <c r="K115" i="19"/>
  <c r="I119" i="18"/>
  <c r="K119" i="18" s="1"/>
  <c r="M118" i="18"/>
  <c r="L118" i="18"/>
  <c r="B116" i="16"/>
  <c r="C116" i="16"/>
  <c r="D116" i="16"/>
  <c r="H116" i="17"/>
  <c r="I116" i="17"/>
  <c r="J116" i="17"/>
  <c r="A117" i="17"/>
  <c r="K115" i="17"/>
  <c r="M114" i="17"/>
  <c r="L114" i="17"/>
  <c r="M114" i="16"/>
  <c r="K115" i="16"/>
  <c r="H116" i="16"/>
  <c r="I116" i="16"/>
  <c r="J116" i="16"/>
  <c r="A117" i="16"/>
  <c r="C117" i="18" l="1"/>
  <c r="E117" i="18" s="1"/>
  <c r="A118" i="18"/>
  <c r="F116" i="18"/>
  <c r="G116" i="18"/>
  <c r="E116" i="17"/>
  <c r="F116" i="17" s="1"/>
  <c r="C117" i="17"/>
  <c r="D117" i="17"/>
  <c r="B117" i="17"/>
  <c r="G115" i="17"/>
  <c r="F115" i="17"/>
  <c r="D124" i="20"/>
  <c r="G124" i="20" s="1"/>
  <c r="H124" i="20"/>
  <c r="K124" i="20" s="1"/>
  <c r="L126" i="20"/>
  <c r="M125" i="20"/>
  <c r="A126" i="20"/>
  <c r="B125" i="20"/>
  <c r="C125" i="20"/>
  <c r="G115" i="19"/>
  <c r="D117" i="19"/>
  <c r="B117" i="19"/>
  <c r="C117" i="19"/>
  <c r="E116" i="19"/>
  <c r="E116" i="16"/>
  <c r="G116" i="16" s="1"/>
  <c r="G115" i="16"/>
  <c r="F115" i="16"/>
  <c r="L115" i="19"/>
  <c r="M115" i="19"/>
  <c r="K116" i="19"/>
  <c r="J117" i="19"/>
  <c r="A118" i="19"/>
  <c r="H117" i="19"/>
  <c r="I117" i="19"/>
  <c r="I120" i="18"/>
  <c r="K120" i="18" s="1"/>
  <c r="L119" i="18"/>
  <c r="M119" i="18"/>
  <c r="B117" i="16"/>
  <c r="C117" i="16"/>
  <c r="D117" i="16"/>
  <c r="J117" i="17"/>
  <c r="A118" i="17"/>
  <c r="H117" i="17"/>
  <c r="I117" i="17"/>
  <c r="L115" i="17"/>
  <c r="M115" i="17"/>
  <c r="K116" i="17"/>
  <c r="K116" i="16"/>
  <c r="H117" i="16"/>
  <c r="I117" i="16"/>
  <c r="A118" i="16"/>
  <c r="J117" i="16"/>
  <c r="M115" i="16"/>
  <c r="L115" i="16"/>
  <c r="G116" i="17" l="1"/>
  <c r="C118" i="18"/>
  <c r="E118" i="18" s="1"/>
  <c r="A119" i="18"/>
  <c r="F117" i="18"/>
  <c r="G117" i="18"/>
  <c r="D118" i="17"/>
  <c r="B118" i="17"/>
  <c r="C118" i="17"/>
  <c r="E117" i="17"/>
  <c r="F116" i="16"/>
  <c r="D125" i="20"/>
  <c r="G125" i="20" s="1"/>
  <c r="H125" i="20"/>
  <c r="K125" i="20" s="1"/>
  <c r="P125" i="20"/>
  <c r="Q125" i="20" s="1"/>
  <c r="N125" i="20"/>
  <c r="O125" i="20" s="1"/>
  <c r="L127" i="20"/>
  <c r="M126" i="20"/>
  <c r="N126" i="20" s="1"/>
  <c r="O126" i="20" s="1"/>
  <c r="A127" i="20"/>
  <c r="B126" i="20"/>
  <c r="C126" i="20"/>
  <c r="E117" i="19"/>
  <c r="G117" i="19" s="1"/>
  <c r="B118" i="19"/>
  <c r="C118" i="19"/>
  <c r="D118" i="19"/>
  <c r="G116" i="19"/>
  <c r="F116" i="19"/>
  <c r="E117" i="16"/>
  <c r="K117" i="19"/>
  <c r="L116" i="19"/>
  <c r="M116" i="19"/>
  <c r="I118" i="19"/>
  <c r="J118" i="19"/>
  <c r="A119" i="19"/>
  <c r="H118" i="19"/>
  <c r="I121" i="18"/>
  <c r="K121" i="18" s="1"/>
  <c r="L120" i="18"/>
  <c r="M120" i="18"/>
  <c r="B118" i="16"/>
  <c r="C118" i="16"/>
  <c r="D118" i="16"/>
  <c r="L116" i="17"/>
  <c r="M116" i="17"/>
  <c r="I118" i="17"/>
  <c r="J118" i="17"/>
  <c r="A119" i="17"/>
  <c r="H118" i="17"/>
  <c r="K117" i="17"/>
  <c r="J118" i="16"/>
  <c r="A119" i="16"/>
  <c r="H118" i="16"/>
  <c r="I118" i="16"/>
  <c r="K117" i="16"/>
  <c r="L116" i="16"/>
  <c r="M116" i="16"/>
  <c r="G118" i="18" l="1"/>
  <c r="F118" i="18"/>
  <c r="C119" i="18"/>
  <c r="E119" i="18" s="1"/>
  <c r="A120" i="18"/>
  <c r="B119" i="17"/>
  <c r="C119" i="17"/>
  <c r="D119" i="17"/>
  <c r="G117" i="17"/>
  <c r="F117" i="17"/>
  <c r="E118" i="17"/>
  <c r="F117" i="19"/>
  <c r="D126" i="20"/>
  <c r="G126" i="20" s="1"/>
  <c r="H126" i="20"/>
  <c r="K126" i="20" s="1"/>
  <c r="L128" i="20"/>
  <c r="M127" i="20"/>
  <c r="A128" i="20"/>
  <c r="C127" i="20"/>
  <c r="B127" i="20"/>
  <c r="E118" i="19"/>
  <c r="F118" i="19" s="1"/>
  <c r="B119" i="19"/>
  <c r="C119" i="19"/>
  <c r="D119" i="19"/>
  <c r="G117" i="16"/>
  <c r="F117" i="16"/>
  <c r="K118" i="19"/>
  <c r="L117" i="19"/>
  <c r="M117" i="19"/>
  <c r="H119" i="19"/>
  <c r="I119" i="19"/>
  <c r="J119" i="19"/>
  <c r="A120" i="19"/>
  <c r="L121" i="18"/>
  <c r="M121" i="18"/>
  <c r="I122" i="18"/>
  <c r="K122" i="18" s="1"/>
  <c r="E118" i="16"/>
  <c r="B119" i="16"/>
  <c r="C119" i="16"/>
  <c r="D119" i="16"/>
  <c r="K118" i="16"/>
  <c r="M118" i="16" s="1"/>
  <c r="K118" i="17"/>
  <c r="L117" i="17"/>
  <c r="M117" i="17"/>
  <c r="H119" i="17"/>
  <c r="I119" i="17"/>
  <c r="J119" i="17"/>
  <c r="A120" i="17"/>
  <c r="I119" i="16"/>
  <c r="J119" i="16"/>
  <c r="A120" i="16"/>
  <c r="H119" i="16"/>
  <c r="L117" i="16"/>
  <c r="M117" i="16"/>
  <c r="L118" i="16" l="1"/>
  <c r="C120" i="18"/>
  <c r="E120" i="18" s="1"/>
  <c r="A121" i="18"/>
  <c r="F119" i="18"/>
  <c r="G119" i="18"/>
  <c r="E119" i="17"/>
  <c r="G119" i="17" s="1"/>
  <c r="B120" i="17"/>
  <c r="C120" i="17"/>
  <c r="D120" i="17"/>
  <c r="F119" i="17"/>
  <c r="G118" i="17"/>
  <c r="F118" i="17"/>
  <c r="D127" i="20"/>
  <c r="G127" i="20" s="1"/>
  <c r="H127" i="20"/>
  <c r="K127" i="20" s="1"/>
  <c r="P127" i="20"/>
  <c r="Q127" i="20" s="1"/>
  <c r="N127" i="20"/>
  <c r="O127" i="20" s="1"/>
  <c r="L129" i="20"/>
  <c r="M128" i="20"/>
  <c r="N128" i="20" s="1"/>
  <c r="O128" i="20" s="1"/>
  <c r="A129" i="20"/>
  <c r="C128" i="20"/>
  <c r="B128" i="20"/>
  <c r="G118" i="19"/>
  <c r="E119" i="19"/>
  <c r="G119" i="19" s="1"/>
  <c r="C120" i="19"/>
  <c r="D120" i="19"/>
  <c r="B120" i="19"/>
  <c r="G118" i="16"/>
  <c r="F118" i="16"/>
  <c r="M118" i="19"/>
  <c r="L118" i="19"/>
  <c r="H120" i="19"/>
  <c r="I120" i="19"/>
  <c r="J120" i="19"/>
  <c r="A121" i="19"/>
  <c r="K119" i="19"/>
  <c r="I123" i="18"/>
  <c r="K123" i="18" s="1"/>
  <c r="M122" i="18"/>
  <c r="L122" i="18"/>
  <c r="E119" i="16"/>
  <c r="D120" i="16"/>
  <c r="B120" i="16"/>
  <c r="C120" i="16"/>
  <c r="K119" i="17"/>
  <c r="L119" i="17" s="1"/>
  <c r="H120" i="17"/>
  <c r="I120" i="17"/>
  <c r="J120" i="17"/>
  <c r="A121" i="17"/>
  <c r="M118" i="17"/>
  <c r="L118" i="17"/>
  <c r="K119" i="16"/>
  <c r="H120" i="16"/>
  <c r="I120" i="16"/>
  <c r="J120" i="16"/>
  <c r="A121" i="16"/>
  <c r="C121" i="18" l="1"/>
  <c r="E121" i="18" s="1"/>
  <c r="A122" i="18"/>
  <c r="F120" i="18"/>
  <c r="G120" i="18"/>
  <c r="C121" i="17"/>
  <c r="D121" i="17"/>
  <c r="B121" i="17"/>
  <c r="E120" i="17"/>
  <c r="D128" i="20"/>
  <c r="G128" i="20" s="1"/>
  <c r="H128" i="20"/>
  <c r="K128" i="20" s="1"/>
  <c r="L130" i="20"/>
  <c r="M129" i="20"/>
  <c r="A130" i="20"/>
  <c r="B129" i="20"/>
  <c r="C129" i="20"/>
  <c r="F119" i="19"/>
  <c r="E120" i="19"/>
  <c r="D121" i="19"/>
  <c r="B121" i="19"/>
  <c r="C121" i="19"/>
  <c r="E120" i="16"/>
  <c r="K120" i="19"/>
  <c r="L120" i="19" s="1"/>
  <c r="G119" i="16"/>
  <c r="F119" i="16"/>
  <c r="L119" i="19"/>
  <c r="M119" i="19"/>
  <c r="J121" i="19"/>
  <c r="A122" i="19"/>
  <c r="H121" i="19"/>
  <c r="I121" i="19"/>
  <c r="I124" i="18"/>
  <c r="K124" i="18" s="1"/>
  <c r="L123" i="18"/>
  <c r="M123" i="18"/>
  <c r="D121" i="16"/>
  <c r="B121" i="16"/>
  <c r="C121" i="16"/>
  <c r="M119" i="17"/>
  <c r="J121" i="17"/>
  <c r="A122" i="17"/>
  <c r="H121" i="17"/>
  <c r="I121" i="17"/>
  <c r="K120" i="17"/>
  <c r="K120" i="16"/>
  <c r="H121" i="16"/>
  <c r="I121" i="16"/>
  <c r="J121" i="16"/>
  <c r="A122" i="16"/>
  <c r="M119" i="16"/>
  <c r="L119" i="16"/>
  <c r="C122" i="18" l="1"/>
  <c r="E122" i="18" s="1"/>
  <c r="A123" i="18"/>
  <c r="F121" i="18"/>
  <c r="G121" i="18"/>
  <c r="D122" i="17"/>
  <c r="B122" i="17"/>
  <c r="C122" i="17"/>
  <c r="G120" i="17"/>
  <c r="F120" i="17"/>
  <c r="E121" i="17"/>
  <c r="D129" i="20"/>
  <c r="G129" i="20" s="1"/>
  <c r="H129" i="20"/>
  <c r="K129" i="20" s="1"/>
  <c r="P129" i="20"/>
  <c r="Q129" i="20" s="1"/>
  <c r="N129" i="20"/>
  <c r="O129" i="20" s="1"/>
  <c r="L131" i="20"/>
  <c r="M130" i="20"/>
  <c r="N130" i="20" s="1"/>
  <c r="O130" i="20" s="1"/>
  <c r="A131" i="20"/>
  <c r="B130" i="20"/>
  <c r="C130" i="20"/>
  <c r="E121" i="19"/>
  <c r="B122" i="19"/>
  <c r="C122" i="19"/>
  <c r="D122" i="19"/>
  <c r="M120" i="19"/>
  <c r="G120" i="19"/>
  <c r="F120" i="19"/>
  <c r="G120" i="16"/>
  <c r="F120" i="16"/>
  <c r="K121" i="19"/>
  <c r="I122" i="19"/>
  <c r="J122" i="19"/>
  <c r="A123" i="19"/>
  <c r="H122" i="19"/>
  <c r="I125" i="18"/>
  <c r="K125" i="18" s="1"/>
  <c r="L124" i="18"/>
  <c r="M124" i="18"/>
  <c r="B122" i="16"/>
  <c r="C122" i="16"/>
  <c r="D122" i="16"/>
  <c r="E121" i="16"/>
  <c r="K121" i="17"/>
  <c r="L121" i="17" s="1"/>
  <c r="I122" i="17"/>
  <c r="J122" i="17"/>
  <c r="A123" i="17"/>
  <c r="H122" i="17"/>
  <c r="L120" i="17"/>
  <c r="M120" i="17"/>
  <c r="K121" i="16"/>
  <c r="J122" i="16"/>
  <c r="A123" i="16"/>
  <c r="H122" i="16"/>
  <c r="I122" i="16"/>
  <c r="L120" i="16"/>
  <c r="M120" i="16"/>
  <c r="C123" i="18" l="1"/>
  <c r="E123" i="18" s="1"/>
  <c r="A124" i="18"/>
  <c r="F122" i="18"/>
  <c r="G122" i="18"/>
  <c r="F121" i="17"/>
  <c r="G121" i="17"/>
  <c r="B123" i="17"/>
  <c r="C123" i="17"/>
  <c r="D123" i="17"/>
  <c r="E122" i="17"/>
  <c r="D130" i="20"/>
  <c r="G130" i="20" s="1"/>
  <c r="H130" i="20"/>
  <c r="K130" i="20" s="1"/>
  <c r="L132" i="20"/>
  <c r="M131" i="20"/>
  <c r="A132" i="20"/>
  <c r="C131" i="20"/>
  <c r="B131" i="20"/>
  <c r="E122" i="19"/>
  <c r="B123" i="19"/>
  <c r="C123" i="19"/>
  <c r="D123" i="19"/>
  <c r="G121" i="19"/>
  <c r="F121" i="19"/>
  <c r="G121" i="16"/>
  <c r="F121" i="16"/>
  <c r="H123" i="19"/>
  <c r="I123" i="19"/>
  <c r="J123" i="19"/>
  <c r="A124" i="19"/>
  <c r="K122" i="19"/>
  <c r="L121" i="19"/>
  <c r="M121" i="19"/>
  <c r="L125" i="18"/>
  <c r="M125" i="18"/>
  <c r="I126" i="18"/>
  <c r="K126" i="18" s="1"/>
  <c r="E122" i="16"/>
  <c r="C123" i="16"/>
  <c r="D123" i="16"/>
  <c r="B123" i="16"/>
  <c r="M121" i="17"/>
  <c r="K122" i="17"/>
  <c r="M122" i="17" s="1"/>
  <c r="H123" i="17"/>
  <c r="I123" i="17"/>
  <c r="J123" i="17"/>
  <c r="A124" i="17"/>
  <c r="K122" i="16"/>
  <c r="I123" i="16"/>
  <c r="J123" i="16"/>
  <c r="A124" i="16"/>
  <c r="H123" i="16"/>
  <c r="L121" i="16"/>
  <c r="M121" i="16"/>
  <c r="C124" i="18" l="1"/>
  <c r="E124" i="18" s="1"/>
  <c r="A125" i="18"/>
  <c r="F123" i="18"/>
  <c r="G123" i="18"/>
  <c r="E123" i="17"/>
  <c r="G123" i="17" s="1"/>
  <c r="B124" i="17"/>
  <c r="C124" i="17"/>
  <c r="D124" i="17"/>
  <c r="F122" i="17"/>
  <c r="G122" i="17"/>
  <c r="D131" i="20"/>
  <c r="G131" i="20" s="1"/>
  <c r="H131" i="20"/>
  <c r="K131" i="20" s="1"/>
  <c r="K123" i="19"/>
  <c r="L123" i="19" s="1"/>
  <c r="L133" i="20"/>
  <c r="M132" i="20"/>
  <c r="N132" i="20" s="1"/>
  <c r="O132" i="20" s="1"/>
  <c r="P131" i="20"/>
  <c r="Q131" i="20" s="1"/>
  <c r="N131" i="20"/>
  <c r="O131" i="20" s="1"/>
  <c r="A133" i="20"/>
  <c r="C132" i="20"/>
  <c r="B132" i="20"/>
  <c r="E123" i="19"/>
  <c r="G123" i="19" s="1"/>
  <c r="C124" i="19"/>
  <c r="D124" i="19"/>
  <c r="B124" i="19"/>
  <c r="G122" i="19"/>
  <c r="F122" i="19"/>
  <c r="G122" i="16"/>
  <c r="F122" i="16"/>
  <c r="M122" i="19"/>
  <c r="L122" i="19"/>
  <c r="H124" i="19"/>
  <c r="I124" i="19"/>
  <c r="A125" i="19"/>
  <c r="J124" i="19"/>
  <c r="I127" i="18"/>
  <c r="K127" i="18" s="1"/>
  <c r="M126" i="18"/>
  <c r="L126" i="18"/>
  <c r="E123" i="16"/>
  <c r="C124" i="16"/>
  <c r="D124" i="16"/>
  <c r="B124" i="16"/>
  <c r="K123" i="17"/>
  <c r="L123" i="17" s="1"/>
  <c r="K123" i="16"/>
  <c r="M123" i="16" s="1"/>
  <c r="L122" i="17"/>
  <c r="H124" i="17"/>
  <c r="I124" i="17"/>
  <c r="J124" i="17"/>
  <c r="A125" i="17"/>
  <c r="H124" i="16"/>
  <c r="I124" i="16"/>
  <c r="J124" i="16"/>
  <c r="A125" i="16"/>
  <c r="L122" i="16"/>
  <c r="M122" i="16"/>
  <c r="C125" i="18" l="1"/>
  <c r="E125" i="18" s="1"/>
  <c r="A126" i="18"/>
  <c r="G124" i="18"/>
  <c r="F124" i="18"/>
  <c r="F123" i="17"/>
  <c r="E124" i="17"/>
  <c r="G124" i="17" s="1"/>
  <c r="C125" i="17"/>
  <c r="D125" i="17"/>
  <c r="B125" i="17"/>
  <c r="F123" i="19"/>
  <c r="M123" i="19"/>
  <c r="D132" i="20"/>
  <c r="G132" i="20" s="1"/>
  <c r="H132" i="20"/>
  <c r="K132" i="20" s="1"/>
  <c r="L134" i="20"/>
  <c r="M133" i="20"/>
  <c r="A134" i="20"/>
  <c r="B133" i="20"/>
  <c r="C133" i="20"/>
  <c r="D125" i="19"/>
  <c r="B125" i="19"/>
  <c r="C125" i="19"/>
  <c r="E124" i="19"/>
  <c r="G123" i="16"/>
  <c r="F123" i="16"/>
  <c r="J125" i="19"/>
  <c r="A126" i="19"/>
  <c r="H125" i="19"/>
  <c r="I125" i="19"/>
  <c r="K124" i="19"/>
  <c r="I128" i="18"/>
  <c r="K128" i="18" s="1"/>
  <c r="L127" i="18"/>
  <c r="M127" i="18"/>
  <c r="E124" i="16"/>
  <c r="B125" i="16"/>
  <c r="C125" i="16"/>
  <c r="D125" i="16"/>
  <c r="L123" i="16"/>
  <c r="M123" i="17"/>
  <c r="J125" i="17"/>
  <c r="A126" i="17"/>
  <c r="H125" i="17"/>
  <c r="I125" i="17"/>
  <c r="K124" i="17"/>
  <c r="H125" i="16"/>
  <c r="I125" i="16"/>
  <c r="A126" i="16"/>
  <c r="J125" i="16"/>
  <c r="K124" i="16"/>
  <c r="C126" i="18" l="1"/>
  <c r="E126" i="18" s="1"/>
  <c r="A127" i="18"/>
  <c r="F125" i="18"/>
  <c r="G125" i="18"/>
  <c r="F124" i="17"/>
  <c r="D126" i="17"/>
  <c r="B126" i="17"/>
  <c r="C126" i="17"/>
  <c r="E125" i="17"/>
  <c r="D133" i="20"/>
  <c r="G133" i="20" s="1"/>
  <c r="H133" i="20"/>
  <c r="K133" i="20" s="1"/>
  <c r="P133" i="20"/>
  <c r="Q133" i="20" s="1"/>
  <c r="N133" i="20"/>
  <c r="O133" i="20" s="1"/>
  <c r="L135" i="20"/>
  <c r="M134" i="20"/>
  <c r="N134" i="20" s="1"/>
  <c r="O134" i="20" s="1"/>
  <c r="A135" i="20"/>
  <c r="B134" i="20"/>
  <c r="C134" i="20"/>
  <c r="B126" i="19"/>
  <c r="C126" i="19"/>
  <c r="D126" i="19"/>
  <c r="G124" i="19"/>
  <c r="F124" i="19"/>
  <c r="E125" i="19"/>
  <c r="G124" i="16"/>
  <c r="F124" i="16"/>
  <c r="L124" i="19"/>
  <c r="M124" i="19"/>
  <c r="K125" i="19"/>
  <c r="I126" i="19"/>
  <c r="J126" i="19"/>
  <c r="A127" i="19"/>
  <c r="H126" i="19"/>
  <c r="I129" i="18"/>
  <c r="K129" i="18" s="1"/>
  <c r="L128" i="18"/>
  <c r="M128" i="18"/>
  <c r="B126" i="16"/>
  <c r="C126" i="16"/>
  <c r="D126" i="16"/>
  <c r="E125" i="16"/>
  <c r="K125" i="16"/>
  <c r="M125" i="16" s="1"/>
  <c r="I126" i="17"/>
  <c r="J126" i="17"/>
  <c r="A127" i="17"/>
  <c r="H126" i="17"/>
  <c r="L124" i="17"/>
  <c r="M124" i="17"/>
  <c r="K125" i="17"/>
  <c r="J126" i="16"/>
  <c r="A127" i="16"/>
  <c r="H126" i="16"/>
  <c r="I126" i="16"/>
  <c r="L124" i="16"/>
  <c r="M124" i="16"/>
  <c r="C127" i="18" l="1"/>
  <c r="E127" i="18" s="1"/>
  <c r="A128" i="18"/>
  <c r="G126" i="18"/>
  <c r="F126" i="18"/>
  <c r="E126" i="17"/>
  <c r="B127" i="17"/>
  <c r="C127" i="17"/>
  <c r="D127" i="17"/>
  <c r="G125" i="17"/>
  <c r="F125" i="17"/>
  <c r="L125" i="16"/>
  <c r="D134" i="20"/>
  <c r="G134" i="20" s="1"/>
  <c r="H134" i="20"/>
  <c r="K134" i="20" s="1"/>
  <c r="E126" i="19"/>
  <c r="G126" i="19" s="1"/>
  <c r="L136" i="20"/>
  <c r="M135" i="20"/>
  <c r="A136" i="20"/>
  <c r="C135" i="20"/>
  <c r="B135" i="20"/>
  <c r="B127" i="19"/>
  <c r="C127" i="19"/>
  <c r="D127" i="19"/>
  <c r="G125" i="19"/>
  <c r="F125" i="19"/>
  <c r="G125" i="16"/>
  <c r="F125" i="16"/>
  <c r="K126" i="19"/>
  <c r="L125" i="19"/>
  <c r="M125" i="19"/>
  <c r="H127" i="19"/>
  <c r="I127" i="19"/>
  <c r="J127" i="19"/>
  <c r="A128" i="19"/>
  <c r="L129" i="18"/>
  <c r="M129" i="18"/>
  <c r="I130" i="18"/>
  <c r="K130" i="18" s="1"/>
  <c r="E126" i="16"/>
  <c r="B127" i="16"/>
  <c r="C127" i="16"/>
  <c r="D127" i="16"/>
  <c r="K126" i="16"/>
  <c r="M126" i="16" s="1"/>
  <c r="K126" i="17"/>
  <c r="M126" i="17" s="1"/>
  <c r="L125" i="17"/>
  <c r="M125" i="17"/>
  <c r="H127" i="17"/>
  <c r="I127" i="17"/>
  <c r="J127" i="17"/>
  <c r="A128" i="17"/>
  <c r="I127" i="16"/>
  <c r="J127" i="16"/>
  <c r="A128" i="16"/>
  <c r="H127" i="16"/>
  <c r="C128" i="18" l="1"/>
  <c r="E128" i="18" s="1"/>
  <c r="A129" i="18"/>
  <c r="F127" i="18"/>
  <c r="G127" i="18"/>
  <c r="B128" i="17"/>
  <c r="C128" i="17"/>
  <c r="D128" i="17"/>
  <c r="G126" i="17"/>
  <c r="F126" i="17"/>
  <c r="E127" i="17"/>
  <c r="L126" i="16"/>
  <c r="F126" i="19"/>
  <c r="D135" i="20"/>
  <c r="G135" i="20" s="1"/>
  <c r="H135" i="20"/>
  <c r="K135" i="20" s="1"/>
  <c r="P135" i="20"/>
  <c r="Q135" i="20" s="1"/>
  <c r="N135" i="20"/>
  <c r="O135" i="20" s="1"/>
  <c r="L137" i="20"/>
  <c r="M136" i="20"/>
  <c r="N136" i="20" s="1"/>
  <c r="O136" i="20" s="1"/>
  <c r="A137" i="20"/>
  <c r="C136" i="20"/>
  <c r="B136" i="20"/>
  <c r="C128" i="19"/>
  <c r="D128" i="19"/>
  <c r="B128" i="19"/>
  <c r="E127" i="19"/>
  <c r="G126" i="16"/>
  <c r="F126" i="16"/>
  <c r="H128" i="19"/>
  <c r="I128" i="19"/>
  <c r="J128" i="19"/>
  <c r="A129" i="19"/>
  <c r="M126" i="19"/>
  <c r="L126" i="19"/>
  <c r="K127" i="19"/>
  <c r="I131" i="18"/>
  <c r="K131" i="18" s="1"/>
  <c r="M130" i="18"/>
  <c r="L130" i="18"/>
  <c r="D128" i="16"/>
  <c r="B128" i="16"/>
  <c r="C128" i="16"/>
  <c r="E127" i="16"/>
  <c r="L126" i="17"/>
  <c r="K127" i="17"/>
  <c r="L127" i="17" s="1"/>
  <c r="H128" i="17"/>
  <c r="I128" i="17"/>
  <c r="J128" i="17"/>
  <c r="A129" i="17"/>
  <c r="K127" i="16"/>
  <c r="H128" i="16"/>
  <c r="I128" i="16"/>
  <c r="J128" i="16"/>
  <c r="A129" i="16"/>
  <c r="C129" i="18" l="1"/>
  <c r="E129" i="18" s="1"/>
  <c r="A130" i="18"/>
  <c r="F128" i="18"/>
  <c r="G128" i="18"/>
  <c r="C129" i="17"/>
  <c r="D129" i="17"/>
  <c r="B129" i="17"/>
  <c r="E128" i="17"/>
  <c r="G127" i="17"/>
  <c r="F127" i="17"/>
  <c r="D136" i="20"/>
  <c r="G136" i="20" s="1"/>
  <c r="H136" i="20"/>
  <c r="K136" i="20" s="1"/>
  <c r="L138" i="20"/>
  <c r="M137" i="20"/>
  <c r="A138" i="20"/>
  <c r="B137" i="20"/>
  <c r="C137" i="20"/>
  <c r="F127" i="19"/>
  <c r="G127" i="19"/>
  <c r="D129" i="19"/>
  <c r="B129" i="19"/>
  <c r="C129" i="19"/>
  <c r="E128" i="19"/>
  <c r="K128" i="19"/>
  <c r="M128" i="19" s="1"/>
  <c r="M127" i="17"/>
  <c r="G127" i="16"/>
  <c r="F127" i="16"/>
  <c r="J129" i="19"/>
  <c r="A130" i="19"/>
  <c r="H129" i="19"/>
  <c r="I129" i="19"/>
  <c r="L127" i="19"/>
  <c r="M127" i="19"/>
  <c r="I132" i="18"/>
  <c r="K132" i="18" s="1"/>
  <c r="L131" i="18"/>
  <c r="M131" i="18"/>
  <c r="D129" i="16"/>
  <c r="B129" i="16"/>
  <c r="C129" i="16"/>
  <c r="E128" i="16"/>
  <c r="J129" i="17"/>
  <c r="A130" i="17"/>
  <c r="H129" i="17"/>
  <c r="I129" i="17"/>
  <c r="K128" i="17"/>
  <c r="K128" i="16"/>
  <c r="H129" i="16"/>
  <c r="I129" i="16"/>
  <c r="J129" i="16"/>
  <c r="A130" i="16"/>
  <c r="M127" i="16"/>
  <c r="L127" i="16"/>
  <c r="C130" i="18" l="1"/>
  <c r="E130" i="18" s="1"/>
  <c r="A131" i="18"/>
  <c r="F129" i="18"/>
  <c r="G129" i="18"/>
  <c r="G128" i="17"/>
  <c r="F128" i="17"/>
  <c r="D130" i="17"/>
  <c r="B130" i="17"/>
  <c r="C130" i="17"/>
  <c r="E129" i="17"/>
  <c r="L128" i="19"/>
  <c r="D137" i="20"/>
  <c r="G137" i="20" s="1"/>
  <c r="H137" i="20"/>
  <c r="K137" i="20" s="1"/>
  <c r="P137" i="20"/>
  <c r="Q137" i="20" s="1"/>
  <c r="N137" i="20"/>
  <c r="O137" i="20" s="1"/>
  <c r="L139" i="20"/>
  <c r="M138" i="20"/>
  <c r="N138" i="20" s="1"/>
  <c r="O138" i="20" s="1"/>
  <c r="A139" i="20"/>
  <c r="B138" i="20"/>
  <c r="C138" i="20"/>
  <c r="E129" i="19"/>
  <c r="F129" i="19" s="1"/>
  <c r="B130" i="19"/>
  <c r="C130" i="19"/>
  <c r="D130" i="19"/>
  <c r="G128" i="19"/>
  <c r="F128" i="19"/>
  <c r="G128" i="16"/>
  <c r="F128" i="16"/>
  <c r="K129" i="19"/>
  <c r="I130" i="19"/>
  <c r="J130" i="19"/>
  <c r="A131" i="19"/>
  <c r="H130" i="19"/>
  <c r="I133" i="18"/>
  <c r="K133" i="18" s="1"/>
  <c r="L132" i="18"/>
  <c r="M132" i="18"/>
  <c r="B130" i="16"/>
  <c r="C130" i="16"/>
  <c r="D130" i="16"/>
  <c r="E129" i="16"/>
  <c r="K129" i="17"/>
  <c r="L129" i="17" s="1"/>
  <c r="L128" i="17"/>
  <c r="M128" i="17"/>
  <c r="I130" i="17"/>
  <c r="J130" i="17"/>
  <c r="A131" i="17"/>
  <c r="H130" i="17"/>
  <c r="K129" i="16"/>
  <c r="J130" i="16"/>
  <c r="A131" i="16"/>
  <c r="H130" i="16"/>
  <c r="I130" i="16"/>
  <c r="L128" i="16"/>
  <c r="M128" i="16"/>
  <c r="C131" i="18" l="1"/>
  <c r="E131" i="18" s="1"/>
  <c r="A132" i="18"/>
  <c r="G130" i="18"/>
  <c r="F130" i="18"/>
  <c r="B131" i="17"/>
  <c r="C131" i="17"/>
  <c r="D131" i="17"/>
  <c r="E130" i="17"/>
  <c r="G129" i="17"/>
  <c r="F129" i="17"/>
  <c r="D138" i="20"/>
  <c r="G138" i="20" s="1"/>
  <c r="H138" i="20"/>
  <c r="K138" i="20" s="1"/>
  <c r="L140" i="20"/>
  <c r="M139" i="20"/>
  <c r="A140" i="20"/>
  <c r="C139" i="20"/>
  <c r="B139" i="20"/>
  <c r="G129" i="19"/>
  <c r="E130" i="19"/>
  <c r="F130" i="19" s="1"/>
  <c r="B131" i="19"/>
  <c r="C131" i="19"/>
  <c r="D131" i="19"/>
  <c r="G129" i="16"/>
  <c r="F129" i="16"/>
  <c r="L129" i="19"/>
  <c r="M129" i="19"/>
  <c r="H131" i="19"/>
  <c r="I131" i="19"/>
  <c r="J131" i="19"/>
  <c r="A132" i="19"/>
  <c r="K130" i="19"/>
  <c r="L133" i="18"/>
  <c r="M133" i="18"/>
  <c r="I134" i="18"/>
  <c r="K134" i="18" s="1"/>
  <c r="E130" i="16"/>
  <c r="C131" i="16"/>
  <c r="D131" i="16"/>
  <c r="B131" i="16"/>
  <c r="M129" i="17"/>
  <c r="K130" i="17"/>
  <c r="H131" i="17"/>
  <c r="I131" i="17"/>
  <c r="J131" i="17"/>
  <c r="A132" i="17"/>
  <c r="K130" i="16"/>
  <c r="I131" i="16"/>
  <c r="J131" i="16"/>
  <c r="A132" i="16"/>
  <c r="H131" i="16"/>
  <c r="L129" i="16"/>
  <c r="M129" i="16"/>
  <c r="C132" i="18" l="1"/>
  <c r="E132" i="18" s="1"/>
  <c r="A133" i="18"/>
  <c r="F131" i="18"/>
  <c r="G131" i="18"/>
  <c r="G130" i="17"/>
  <c r="F130" i="17"/>
  <c r="B132" i="17"/>
  <c r="C132" i="17"/>
  <c r="D132" i="17"/>
  <c r="E131" i="17"/>
  <c r="G130" i="19"/>
  <c r="E131" i="19"/>
  <c r="G131" i="19" s="1"/>
  <c r="D139" i="20"/>
  <c r="G139" i="20" s="1"/>
  <c r="H139" i="20"/>
  <c r="K139" i="20" s="1"/>
  <c r="P139" i="20"/>
  <c r="Q139" i="20" s="1"/>
  <c r="N139" i="20"/>
  <c r="O139" i="20" s="1"/>
  <c r="L141" i="20"/>
  <c r="M140" i="20"/>
  <c r="N140" i="20" s="1"/>
  <c r="O140" i="20" s="1"/>
  <c r="A141" i="20"/>
  <c r="B140" i="20"/>
  <c r="C140" i="20"/>
  <c r="C132" i="19"/>
  <c r="D132" i="19"/>
  <c r="B132" i="19"/>
  <c r="G130" i="16"/>
  <c r="F130" i="16"/>
  <c r="K131" i="19"/>
  <c r="M130" i="19"/>
  <c r="L130" i="19"/>
  <c r="H132" i="19"/>
  <c r="I132" i="19"/>
  <c r="A133" i="19"/>
  <c r="J132" i="19"/>
  <c r="I135" i="18"/>
  <c r="K135" i="18" s="1"/>
  <c r="M134" i="18"/>
  <c r="L134" i="18"/>
  <c r="C132" i="16"/>
  <c r="D132" i="16"/>
  <c r="B132" i="16"/>
  <c r="E131" i="16"/>
  <c r="K131" i="16"/>
  <c r="L131" i="16" s="1"/>
  <c r="K131" i="17"/>
  <c r="H132" i="17"/>
  <c r="I132" i="17"/>
  <c r="J132" i="17"/>
  <c r="A133" i="17"/>
  <c r="M130" i="17"/>
  <c r="L130" i="17"/>
  <c r="H132" i="16"/>
  <c r="I132" i="16"/>
  <c r="J132" i="16"/>
  <c r="A133" i="16"/>
  <c r="L130" i="16"/>
  <c r="M130" i="16"/>
  <c r="C133" i="18" l="1"/>
  <c r="E133" i="18" s="1"/>
  <c r="A134" i="18"/>
  <c r="G132" i="18"/>
  <c r="F132" i="18"/>
  <c r="E132" i="17"/>
  <c r="G132" i="17" s="1"/>
  <c r="C133" i="17"/>
  <c r="D133" i="17"/>
  <c r="B133" i="17"/>
  <c r="F131" i="17"/>
  <c r="G131" i="17"/>
  <c r="F131" i="19"/>
  <c r="D140" i="20"/>
  <c r="G140" i="20" s="1"/>
  <c r="H140" i="20"/>
  <c r="K140" i="20" s="1"/>
  <c r="L142" i="20"/>
  <c r="M141" i="20"/>
  <c r="A142" i="20"/>
  <c r="C141" i="20"/>
  <c r="B141" i="20"/>
  <c r="K132" i="19"/>
  <c r="M132" i="19" s="1"/>
  <c r="E132" i="19"/>
  <c r="D133" i="19"/>
  <c r="B133" i="19"/>
  <c r="C133" i="19"/>
  <c r="E132" i="16"/>
  <c r="G131" i="16"/>
  <c r="F131" i="16"/>
  <c r="L131" i="19"/>
  <c r="M131" i="19"/>
  <c r="J133" i="19"/>
  <c r="A134" i="19"/>
  <c r="H133" i="19"/>
  <c r="I133" i="19"/>
  <c r="I136" i="18"/>
  <c r="K136" i="18" s="1"/>
  <c r="L135" i="18"/>
  <c r="M135" i="18"/>
  <c r="M131" i="16"/>
  <c r="B133" i="16"/>
  <c r="C133" i="16"/>
  <c r="D133" i="16"/>
  <c r="K132" i="16"/>
  <c r="M132" i="16" s="1"/>
  <c r="K132" i="17"/>
  <c r="J133" i="17"/>
  <c r="A134" i="17"/>
  <c r="H133" i="17"/>
  <c r="I133" i="17"/>
  <c r="L131" i="17"/>
  <c r="M131" i="17"/>
  <c r="H133" i="16"/>
  <c r="I133" i="16"/>
  <c r="A134" i="16"/>
  <c r="J133" i="16"/>
  <c r="C134" i="18" l="1"/>
  <c r="E134" i="18" s="1"/>
  <c r="A135" i="18"/>
  <c r="F133" i="18"/>
  <c r="G133" i="18"/>
  <c r="F132" i="17"/>
  <c r="D134" i="17"/>
  <c r="B134" i="17"/>
  <c r="C134" i="17"/>
  <c r="E133" i="17"/>
  <c r="L132" i="19"/>
  <c r="L132" i="16"/>
  <c r="K133" i="16"/>
  <c r="M133" i="16" s="1"/>
  <c r="D141" i="20"/>
  <c r="G141" i="20" s="1"/>
  <c r="H141" i="20"/>
  <c r="K141" i="20" s="1"/>
  <c r="P141" i="20"/>
  <c r="Q141" i="20" s="1"/>
  <c r="N141" i="20"/>
  <c r="O141" i="20" s="1"/>
  <c r="L143" i="20"/>
  <c r="M142" i="20"/>
  <c r="N142" i="20" s="1"/>
  <c r="O142" i="20" s="1"/>
  <c r="A143" i="20"/>
  <c r="B142" i="20"/>
  <c r="C142" i="20"/>
  <c r="E133" i="19"/>
  <c r="F133" i="19" s="1"/>
  <c r="D134" i="19"/>
  <c r="B134" i="19"/>
  <c r="C134" i="19"/>
  <c r="G132" i="19"/>
  <c r="F132" i="19"/>
  <c r="K133" i="19"/>
  <c r="L133" i="19" s="1"/>
  <c r="G132" i="16"/>
  <c r="F132" i="16"/>
  <c r="I134" i="19"/>
  <c r="J134" i="19"/>
  <c r="A135" i="19"/>
  <c r="H134" i="19"/>
  <c r="I137" i="18"/>
  <c r="K137" i="18" s="1"/>
  <c r="L136" i="18"/>
  <c r="M136" i="18"/>
  <c r="B134" i="16"/>
  <c r="C134" i="16"/>
  <c r="D134" i="16"/>
  <c r="E133" i="16"/>
  <c r="L132" i="17"/>
  <c r="M132" i="17"/>
  <c r="I134" i="17"/>
  <c r="J134" i="17"/>
  <c r="A135" i="17"/>
  <c r="H134" i="17"/>
  <c r="K133" i="17"/>
  <c r="J134" i="16"/>
  <c r="A135" i="16"/>
  <c r="H134" i="16"/>
  <c r="I134" i="16"/>
  <c r="L133" i="16" l="1"/>
  <c r="C135" i="18"/>
  <c r="E135" i="18" s="1"/>
  <c r="A136" i="18"/>
  <c r="G134" i="18"/>
  <c r="F134" i="18"/>
  <c r="E134" i="17"/>
  <c r="F133" i="17"/>
  <c r="G133" i="17"/>
  <c r="B135" i="17"/>
  <c r="C135" i="17"/>
  <c r="D135" i="17"/>
  <c r="D142" i="20"/>
  <c r="G142" i="20" s="1"/>
  <c r="H142" i="20"/>
  <c r="K142" i="20" s="1"/>
  <c r="L144" i="20"/>
  <c r="M143" i="20"/>
  <c r="A144" i="20"/>
  <c r="B143" i="20"/>
  <c r="C143" i="20"/>
  <c r="M133" i="19"/>
  <c r="G133" i="19"/>
  <c r="E134" i="19"/>
  <c r="B135" i="19"/>
  <c r="C135" i="19"/>
  <c r="D135" i="19"/>
  <c r="G133" i="16"/>
  <c r="F133" i="16"/>
  <c r="H135" i="19"/>
  <c r="I135" i="19"/>
  <c r="J135" i="19"/>
  <c r="A136" i="19"/>
  <c r="K134" i="19"/>
  <c r="L137" i="18"/>
  <c r="M137" i="18"/>
  <c r="I138" i="18"/>
  <c r="K138" i="18" s="1"/>
  <c r="E134" i="16"/>
  <c r="C135" i="16"/>
  <c r="D135" i="16"/>
  <c r="B135" i="16"/>
  <c r="K134" i="16"/>
  <c r="M134" i="16" s="1"/>
  <c r="K134" i="17"/>
  <c r="L133" i="17"/>
  <c r="M133" i="17"/>
  <c r="H135" i="17"/>
  <c r="I135" i="17"/>
  <c r="J135" i="17"/>
  <c r="A136" i="17"/>
  <c r="I135" i="16"/>
  <c r="J135" i="16"/>
  <c r="A136" i="16"/>
  <c r="H135" i="16"/>
  <c r="C136" i="18" l="1"/>
  <c r="E136" i="18" s="1"/>
  <c r="A137" i="18"/>
  <c r="F135" i="18"/>
  <c r="G135" i="18"/>
  <c r="G134" i="17"/>
  <c r="F134" i="17"/>
  <c r="B136" i="17"/>
  <c r="C136" i="17"/>
  <c r="D136" i="17"/>
  <c r="E135" i="17"/>
  <c r="L134" i="16"/>
  <c r="D143" i="20"/>
  <c r="G143" i="20" s="1"/>
  <c r="H143" i="20"/>
  <c r="K143" i="20" s="1"/>
  <c r="P143" i="20"/>
  <c r="Q143" i="20" s="1"/>
  <c r="N143" i="20"/>
  <c r="O143" i="20" s="1"/>
  <c r="L145" i="20"/>
  <c r="M144" i="20"/>
  <c r="N144" i="20" s="1"/>
  <c r="O144" i="20" s="1"/>
  <c r="A145" i="20"/>
  <c r="C144" i="20"/>
  <c r="B144" i="20"/>
  <c r="E135" i="19"/>
  <c r="B136" i="19"/>
  <c r="C136" i="19"/>
  <c r="D136" i="19"/>
  <c r="F134" i="19"/>
  <c r="G134" i="19"/>
  <c r="G134" i="16"/>
  <c r="F134" i="16"/>
  <c r="H136" i="19"/>
  <c r="I136" i="19"/>
  <c r="A137" i="19"/>
  <c r="J136" i="19"/>
  <c r="M134" i="19"/>
  <c r="L134" i="19"/>
  <c r="K135" i="19"/>
  <c r="I139" i="18"/>
  <c r="K139" i="18" s="1"/>
  <c r="M138" i="18"/>
  <c r="L138" i="18"/>
  <c r="C136" i="16"/>
  <c r="D136" i="16"/>
  <c r="B136" i="16"/>
  <c r="E135" i="16"/>
  <c r="M134" i="17"/>
  <c r="L134" i="17"/>
  <c r="H136" i="17"/>
  <c r="I136" i="17"/>
  <c r="J136" i="17"/>
  <c r="A137" i="17"/>
  <c r="K135" i="17"/>
  <c r="K135" i="16"/>
  <c r="H136" i="16"/>
  <c r="I136" i="16"/>
  <c r="J136" i="16"/>
  <c r="A137" i="16"/>
  <c r="C137" i="18" l="1"/>
  <c r="E137" i="18" s="1"/>
  <c r="A138" i="18"/>
  <c r="F136" i="18"/>
  <c r="G136" i="18"/>
  <c r="E136" i="17"/>
  <c r="G136" i="17" s="1"/>
  <c r="D137" i="17"/>
  <c r="B137" i="17"/>
  <c r="C137" i="17"/>
  <c r="F135" i="17"/>
  <c r="G135" i="17"/>
  <c r="D144" i="20"/>
  <c r="G144" i="20" s="1"/>
  <c r="H144" i="20"/>
  <c r="K144" i="20" s="1"/>
  <c r="L146" i="20"/>
  <c r="M145" i="20"/>
  <c r="A146" i="20"/>
  <c r="B145" i="20"/>
  <c r="C145" i="20"/>
  <c r="E136" i="19"/>
  <c r="C137" i="19"/>
  <c r="D137" i="19"/>
  <c r="B137" i="19"/>
  <c r="F135" i="19"/>
  <c r="G135" i="19"/>
  <c r="E136" i="16"/>
  <c r="G135" i="16"/>
  <c r="F135" i="16"/>
  <c r="K136" i="19"/>
  <c r="L135" i="19"/>
  <c r="M135" i="19"/>
  <c r="J137" i="19"/>
  <c r="A138" i="19"/>
  <c r="H137" i="19"/>
  <c r="I137" i="19"/>
  <c r="L139" i="18"/>
  <c r="M139" i="18"/>
  <c r="I140" i="18"/>
  <c r="K140" i="18" s="1"/>
  <c r="K136" i="17"/>
  <c r="M136" i="17" s="1"/>
  <c r="B137" i="16"/>
  <c r="C137" i="16"/>
  <c r="D137" i="16"/>
  <c r="L135" i="17"/>
  <c r="M135" i="17"/>
  <c r="J137" i="17"/>
  <c r="A138" i="17"/>
  <c r="H137" i="17"/>
  <c r="I137" i="17"/>
  <c r="K136" i="16"/>
  <c r="H137" i="16"/>
  <c r="I137" i="16"/>
  <c r="J137" i="16"/>
  <c r="A138" i="16"/>
  <c r="M135" i="16"/>
  <c r="L135" i="16"/>
  <c r="C138" i="18" l="1"/>
  <c r="E138" i="18" s="1"/>
  <c r="A139" i="18"/>
  <c r="F137" i="18"/>
  <c r="G137" i="18"/>
  <c r="F136" i="17"/>
  <c r="L136" i="17"/>
  <c r="E137" i="17"/>
  <c r="G137" i="17" s="1"/>
  <c r="D138" i="17"/>
  <c r="B138" i="17"/>
  <c r="C138" i="17"/>
  <c r="D145" i="20"/>
  <c r="G145" i="20" s="1"/>
  <c r="H145" i="20"/>
  <c r="K145" i="20" s="1"/>
  <c r="E137" i="19"/>
  <c r="F137" i="19" s="1"/>
  <c r="P145" i="20"/>
  <c r="Q145" i="20" s="1"/>
  <c r="N145" i="20"/>
  <c r="O145" i="20" s="1"/>
  <c r="L147" i="20"/>
  <c r="M146" i="20"/>
  <c r="N146" i="20" s="1"/>
  <c r="O146" i="20" s="1"/>
  <c r="A147" i="20"/>
  <c r="B146" i="20"/>
  <c r="C146" i="20"/>
  <c r="G136" i="19"/>
  <c r="F136" i="19"/>
  <c r="D138" i="19"/>
  <c r="B138" i="19"/>
  <c r="C138" i="19"/>
  <c r="G136" i="16"/>
  <c r="F136" i="16"/>
  <c r="I138" i="19"/>
  <c r="J138" i="19"/>
  <c r="A139" i="19"/>
  <c r="H138" i="19"/>
  <c r="L136" i="19"/>
  <c r="M136" i="19"/>
  <c r="K137" i="19"/>
  <c r="I141" i="18"/>
  <c r="K141" i="18" s="1"/>
  <c r="M140" i="18"/>
  <c r="L140" i="18"/>
  <c r="B138" i="16"/>
  <c r="C138" i="16"/>
  <c r="D138" i="16"/>
  <c r="E137" i="16"/>
  <c r="K137" i="17"/>
  <c r="I138" i="17"/>
  <c r="J138" i="17"/>
  <c r="A139" i="17"/>
  <c r="H138" i="17"/>
  <c r="K137" i="16"/>
  <c r="J138" i="16"/>
  <c r="A139" i="16"/>
  <c r="H138" i="16"/>
  <c r="I138" i="16"/>
  <c r="L136" i="16"/>
  <c r="M136" i="16"/>
  <c r="C139" i="18" l="1"/>
  <c r="E139" i="18" s="1"/>
  <c r="A140" i="18"/>
  <c r="G138" i="18"/>
  <c r="F138" i="18"/>
  <c r="F137" i="17"/>
  <c r="B139" i="17"/>
  <c r="C139" i="17"/>
  <c r="D139" i="17"/>
  <c r="E138" i="17"/>
  <c r="G137" i="19"/>
  <c r="D146" i="20"/>
  <c r="G146" i="20" s="1"/>
  <c r="H146" i="20"/>
  <c r="K146" i="20" s="1"/>
  <c r="L148" i="20"/>
  <c r="M147" i="20"/>
  <c r="A148" i="20"/>
  <c r="B147" i="20"/>
  <c r="C147" i="20"/>
  <c r="E138" i="19"/>
  <c r="B139" i="19"/>
  <c r="C139" i="19"/>
  <c r="D139" i="19"/>
  <c r="G137" i="16"/>
  <c r="F137" i="16"/>
  <c r="E138" i="16"/>
  <c r="L137" i="19"/>
  <c r="M137" i="19"/>
  <c r="H139" i="19"/>
  <c r="I139" i="19"/>
  <c r="J139" i="19"/>
  <c r="A140" i="19"/>
  <c r="K138" i="19"/>
  <c r="I142" i="18"/>
  <c r="K142" i="18" s="1"/>
  <c r="L141" i="18"/>
  <c r="M141" i="18"/>
  <c r="B139" i="16"/>
  <c r="C139" i="16"/>
  <c r="D139" i="16"/>
  <c r="L137" i="17"/>
  <c r="M137" i="17"/>
  <c r="H139" i="17"/>
  <c r="I139" i="17"/>
  <c r="J139" i="17"/>
  <c r="A140" i="17"/>
  <c r="K138" i="17"/>
  <c r="K138" i="16"/>
  <c r="I139" i="16"/>
  <c r="J139" i="16"/>
  <c r="A140" i="16"/>
  <c r="H139" i="16"/>
  <c r="L137" i="16"/>
  <c r="M137" i="16"/>
  <c r="C140" i="18" l="1"/>
  <c r="E140" i="18" s="1"/>
  <c r="A141" i="18"/>
  <c r="F139" i="18"/>
  <c r="G139" i="18"/>
  <c r="F138" i="17"/>
  <c r="G138" i="17"/>
  <c r="C140" i="17"/>
  <c r="D140" i="17"/>
  <c r="B140" i="17"/>
  <c r="E139" i="17"/>
  <c r="D147" i="20"/>
  <c r="G147" i="20" s="1"/>
  <c r="H147" i="20"/>
  <c r="K147" i="20" s="1"/>
  <c r="P147" i="20"/>
  <c r="Q147" i="20" s="1"/>
  <c r="N147" i="20"/>
  <c r="O147" i="20" s="1"/>
  <c r="L149" i="20"/>
  <c r="M148" i="20"/>
  <c r="N148" i="20" s="1"/>
  <c r="O148" i="20" s="1"/>
  <c r="A149" i="20"/>
  <c r="B148" i="20"/>
  <c r="C148" i="20"/>
  <c r="E139" i="19"/>
  <c r="F139" i="19" s="1"/>
  <c r="K139" i="19"/>
  <c r="M139" i="19" s="1"/>
  <c r="B140" i="19"/>
  <c r="C140" i="19"/>
  <c r="D140" i="19"/>
  <c r="G138" i="19"/>
  <c r="F138" i="19"/>
  <c r="G138" i="16"/>
  <c r="F138" i="16"/>
  <c r="M138" i="19"/>
  <c r="L138" i="19"/>
  <c r="H140" i="19"/>
  <c r="I140" i="19"/>
  <c r="A141" i="19"/>
  <c r="J140" i="19"/>
  <c r="L142" i="18"/>
  <c r="M142" i="18"/>
  <c r="I143" i="18"/>
  <c r="K143" i="18" s="1"/>
  <c r="K139" i="17"/>
  <c r="M139" i="17" s="1"/>
  <c r="D140" i="16"/>
  <c r="B140" i="16"/>
  <c r="C140" i="16"/>
  <c r="E139" i="16"/>
  <c r="K139" i="16"/>
  <c r="M139" i="16" s="1"/>
  <c r="M138" i="17"/>
  <c r="L138" i="17"/>
  <c r="H140" i="17"/>
  <c r="J140" i="17"/>
  <c r="A141" i="17"/>
  <c r="I140" i="17"/>
  <c r="H140" i="16"/>
  <c r="I140" i="16"/>
  <c r="J140" i="16"/>
  <c r="A141" i="16"/>
  <c r="L138" i="16"/>
  <c r="M138" i="16"/>
  <c r="C141" i="18" l="1"/>
  <c r="E141" i="18" s="1"/>
  <c r="A142" i="18"/>
  <c r="F140" i="18"/>
  <c r="G140" i="18"/>
  <c r="C141" i="17"/>
  <c r="D141" i="17"/>
  <c r="B141" i="17"/>
  <c r="E140" i="17"/>
  <c r="G139" i="17"/>
  <c r="F139" i="17"/>
  <c r="L139" i="19"/>
  <c r="D148" i="20"/>
  <c r="G148" i="20" s="1"/>
  <c r="H148" i="20"/>
  <c r="K148" i="20" s="1"/>
  <c r="L150" i="20"/>
  <c r="M149" i="20"/>
  <c r="A150" i="20"/>
  <c r="C149" i="20"/>
  <c r="B149" i="20"/>
  <c r="L139" i="17"/>
  <c r="G139" i="19"/>
  <c r="B141" i="19"/>
  <c r="C141" i="19"/>
  <c r="D141" i="19"/>
  <c r="E140" i="19"/>
  <c r="G139" i="16"/>
  <c r="F139" i="16"/>
  <c r="K140" i="19"/>
  <c r="J141" i="19"/>
  <c r="A142" i="19"/>
  <c r="H141" i="19"/>
  <c r="I141" i="19"/>
  <c r="I144" i="18"/>
  <c r="K144" i="18" s="1"/>
  <c r="M143" i="18"/>
  <c r="L143" i="18"/>
  <c r="E140" i="16"/>
  <c r="D141" i="16"/>
  <c r="B141" i="16"/>
  <c r="C141" i="16"/>
  <c r="L139" i="16"/>
  <c r="K140" i="16"/>
  <c r="M140" i="16" s="1"/>
  <c r="I141" i="17"/>
  <c r="J141" i="17"/>
  <c r="A142" i="17"/>
  <c r="H141" i="17"/>
  <c r="K140" i="17"/>
  <c r="H141" i="16"/>
  <c r="I141" i="16"/>
  <c r="A142" i="16"/>
  <c r="J141" i="16"/>
  <c r="C142" i="18" l="1"/>
  <c r="E142" i="18" s="1"/>
  <c r="A143" i="18"/>
  <c r="F141" i="18"/>
  <c r="G141" i="18"/>
  <c r="B142" i="17"/>
  <c r="C142" i="17"/>
  <c r="D142" i="17"/>
  <c r="G140" i="17"/>
  <c r="F140" i="17"/>
  <c r="E141" i="17"/>
  <c r="D149" i="20"/>
  <c r="G149" i="20" s="1"/>
  <c r="H149" i="20"/>
  <c r="K149" i="20" s="1"/>
  <c r="P149" i="20"/>
  <c r="Q149" i="20" s="1"/>
  <c r="N149" i="20"/>
  <c r="O149" i="20" s="1"/>
  <c r="L151" i="20"/>
  <c r="M150" i="20"/>
  <c r="N150" i="20" s="1"/>
  <c r="O150" i="20" s="1"/>
  <c r="A151" i="20"/>
  <c r="B150" i="20"/>
  <c r="C150" i="20"/>
  <c r="E141" i="16"/>
  <c r="F141" i="16" s="1"/>
  <c r="E141" i="19"/>
  <c r="G141" i="19" s="1"/>
  <c r="G140" i="19"/>
  <c r="F140" i="19"/>
  <c r="C142" i="19"/>
  <c r="D142" i="19"/>
  <c r="B142" i="19"/>
  <c r="G140" i="16"/>
  <c r="F140" i="16"/>
  <c r="L140" i="19"/>
  <c r="M140" i="19"/>
  <c r="I142" i="19"/>
  <c r="J142" i="19"/>
  <c r="A143" i="19"/>
  <c r="H142" i="19"/>
  <c r="K141" i="19"/>
  <c r="I145" i="18"/>
  <c r="K145" i="18" s="1"/>
  <c r="L144" i="18"/>
  <c r="M144" i="18"/>
  <c r="B142" i="16"/>
  <c r="C142" i="16"/>
  <c r="D142" i="16"/>
  <c r="L140" i="16"/>
  <c r="L140" i="17"/>
  <c r="M140" i="17"/>
  <c r="J142" i="17"/>
  <c r="A143" i="17"/>
  <c r="H142" i="17"/>
  <c r="I142" i="17"/>
  <c r="K141" i="17"/>
  <c r="K141" i="16"/>
  <c r="L141" i="16" s="1"/>
  <c r="J142" i="16"/>
  <c r="A143" i="16"/>
  <c r="H142" i="16"/>
  <c r="I142" i="16"/>
  <c r="C143" i="18" l="1"/>
  <c r="E143" i="18" s="1"/>
  <c r="A144" i="18"/>
  <c r="F142" i="18"/>
  <c r="G142" i="18"/>
  <c r="B143" i="17"/>
  <c r="C143" i="17"/>
  <c r="D143" i="17"/>
  <c r="E142" i="17"/>
  <c r="G141" i="17"/>
  <c r="F141" i="17"/>
  <c r="G141" i="16"/>
  <c r="D150" i="20"/>
  <c r="G150" i="20" s="1"/>
  <c r="H150" i="20"/>
  <c r="K150" i="20" s="1"/>
  <c r="F141" i="19"/>
  <c r="L152" i="20"/>
  <c r="M151" i="20"/>
  <c r="A152" i="20"/>
  <c r="B151" i="20"/>
  <c r="C151" i="20"/>
  <c r="D143" i="19"/>
  <c r="B143" i="19"/>
  <c r="C143" i="19"/>
  <c r="E142" i="19"/>
  <c r="H143" i="19"/>
  <c r="I143" i="19"/>
  <c r="J143" i="19"/>
  <c r="A144" i="19"/>
  <c r="K142" i="19"/>
  <c r="L141" i="19"/>
  <c r="M141" i="19"/>
  <c r="I146" i="18"/>
  <c r="K146" i="18" s="1"/>
  <c r="L145" i="18"/>
  <c r="M145" i="18"/>
  <c r="E142" i="16"/>
  <c r="C143" i="16"/>
  <c r="D143" i="16"/>
  <c r="B143" i="16"/>
  <c r="M141" i="16"/>
  <c r="K142" i="16"/>
  <c r="M142" i="16" s="1"/>
  <c r="I143" i="17"/>
  <c r="H143" i="17"/>
  <c r="J143" i="17"/>
  <c r="A144" i="17"/>
  <c r="M141" i="17"/>
  <c r="L141" i="17"/>
  <c r="K142" i="17"/>
  <c r="I143" i="16"/>
  <c r="J143" i="16"/>
  <c r="A144" i="16"/>
  <c r="H143" i="16"/>
  <c r="C144" i="18" l="1"/>
  <c r="E144" i="18" s="1"/>
  <c r="A145" i="18"/>
  <c r="F143" i="18"/>
  <c r="G143" i="18"/>
  <c r="C144" i="17"/>
  <c r="D144" i="17"/>
  <c r="B144" i="17"/>
  <c r="F142" i="17"/>
  <c r="G142" i="17"/>
  <c r="E143" i="17"/>
  <c r="K143" i="19"/>
  <c r="M143" i="19" s="1"/>
  <c r="E143" i="19"/>
  <c r="G143" i="19" s="1"/>
  <c r="D151" i="20"/>
  <c r="G151" i="20" s="1"/>
  <c r="H151" i="20"/>
  <c r="K151" i="20" s="1"/>
  <c r="P151" i="20"/>
  <c r="Q151" i="20" s="1"/>
  <c r="N151" i="20"/>
  <c r="O151" i="20" s="1"/>
  <c r="L153" i="20"/>
  <c r="M152" i="20"/>
  <c r="N152" i="20" s="1"/>
  <c r="O152" i="20" s="1"/>
  <c r="A153" i="20"/>
  <c r="C152" i="20"/>
  <c r="B152" i="20"/>
  <c r="L142" i="16"/>
  <c r="B144" i="19"/>
  <c r="C144" i="19"/>
  <c r="D144" i="19"/>
  <c r="F142" i="19"/>
  <c r="G142" i="19"/>
  <c r="G142" i="16"/>
  <c r="F142" i="16"/>
  <c r="M142" i="19"/>
  <c r="L142" i="19"/>
  <c r="H144" i="19"/>
  <c r="I144" i="19"/>
  <c r="A145" i="19"/>
  <c r="J144" i="19"/>
  <c r="L146" i="18"/>
  <c r="M146" i="18"/>
  <c r="I147" i="18"/>
  <c r="K147" i="18" s="1"/>
  <c r="C144" i="16"/>
  <c r="D144" i="16"/>
  <c r="B144" i="16"/>
  <c r="E143" i="16"/>
  <c r="K143" i="17"/>
  <c r="M143" i="17" s="1"/>
  <c r="H144" i="17"/>
  <c r="J144" i="17"/>
  <c r="A145" i="17"/>
  <c r="I144" i="17"/>
  <c r="L142" i="17"/>
  <c r="M142" i="17"/>
  <c r="K143" i="16"/>
  <c r="H144" i="16"/>
  <c r="I144" i="16"/>
  <c r="J144" i="16"/>
  <c r="A145" i="16"/>
  <c r="C145" i="18" l="1"/>
  <c r="E145" i="18" s="1"/>
  <c r="A146" i="18"/>
  <c r="G144" i="18"/>
  <c r="F144" i="18"/>
  <c r="D145" i="17"/>
  <c r="B145" i="17"/>
  <c r="C145" i="17"/>
  <c r="G143" i="17"/>
  <c r="F143" i="17"/>
  <c r="E144" i="17"/>
  <c r="L143" i="19"/>
  <c r="F143" i="19"/>
  <c r="D152" i="20"/>
  <c r="G152" i="20" s="1"/>
  <c r="H152" i="20"/>
  <c r="K152" i="20" s="1"/>
  <c r="L154" i="20"/>
  <c r="M153" i="20"/>
  <c r="A154" i="20"/>
  <c r="B153" i="20"/>
  <c r="C153" i="20"/>
  <c r="E144" i="19"/>
  <c r="G144" i="19" s="1"/>
  <c r="B145" i="19"/>
  <c r="C145" i="19"/>
  <c r="D145" i="19"/>
  <c r="G143" i="16"/>
  <c r="F143" i="16"/>
  <c r="J145" i="19"/>
  <c r="A146" i="19"/>
  <c r="H145" i="19"/>
  <c r="I145" i="19"/>
  <c r="K144" i="19"/>
  <c r="I148" i="18"/>
  <c r="K148" i="18" s="1"/>
  <c r="M147" i="18"/>
  <c r="L147" i="18"/>
  <c r="B145" i="16"/>
  <c r="C145" i="16"/>
  <c r="D145" i="16"/>
  <c r="E144" i="16"/>
  <c r="L143" i="17"/>
  <c r="I145" i="17"/>
  <c r="J145" i="17"/>
  <c r="A146" i="17"/>
  <c r="H145" i="17"/>
  <c r="K144" i="17"/>
  <c r="K144" i="16"/>
  <c r="H145" i="16"/>
  <c r="I145" i="16"/>
  <c r="J145" i="16"/>
  <c r="A146" i="16"/>
  <c r="M143" i="16"/>
  <c r="L143" i="16"/>
  <c r="C146" i="18" l="1"/>
  <c r="E146" i="18" s="1"/>
  <c r="A147" i="18"/>
  <c r="F145" i="18"/>
  <c r="G145" i="18"/>
  <c r="D146" i="17"/>
  <c r="B146" i="17"/>
  <c r="C146" i="17"/>
  <c r="F144" i="17"/>
  <c r="G144" i="17"/>
  <c r="E145" i="17"/>
  <c r="D153" i="20"/>
  <c r="G153" i="20" s="1"/>
  <c r="H153" i="20"/>
  <c r="K153" i="20" s="1"/>
  <c r="P153" i="20"/>
  <c r="Q153" i="20" s="1"/>
  <c r="N153" i="20"/>
  <c r="O153" i="20" s="1"/>
  <c r="L155" i="20"/>
  <c r="M154" i="20"/>
  <c r="N154" i="20" s="1"/>
  <c r="O154" i="20" s="1"/>
  <c r="A155" i="20"/>
  <c r="C154" i="20"/>
  <c r="B154" i="20"/>
  <c r="F144" i="19"/>
  <c r="E145" i="19"/>
  <c r="G145" i="19" s="1"/>
  <c r="B146" i="19"/>
  <c r="C146" i="19"/>
  <c r="D146" i="19"/>
  <c r="G144" i="16"/>
  <c r="F144" i="16"/>
  <c r="L144" i="19"/>
  <c r="M144" i="19"/>
  <c r="K145" i="19"/>
  <c r="I146" i="19"/>
  <c r="J146" i="19"/>
  <c r="A147" i="19"/>
  <c r="H146" i="19"/>
  <c r="I149" i="18"/>
  <c r="K149" i="18" s="1"/>
  <c r="L148" i="18"/>
  <c r="M148" i="18"/>
  <c r="E145" i="16"/>
  <c r="B146" i="16"/>
  <c r="C146" i="16"/>
  <c r="D146" i="16"/>
  <c r="L144" i="17"/>
  <c r="M144" i="17"/>
  <c r="J146" i="17"/>
  <c r="A147" i="17"/>
  <c r="H146" i="17"/>
  <c r="I146" i="17"/>
  <c r="K145" i="17"/>
  <c r="K145" i="16"/>
  <c r="J146" i="16"/>
  <c r="A147" i="16"/>
  <c r="H146" i="16"/>
  <c r="I146" i="16"/>
  <c r="L144" i="16"/>
  <c r="M144" i="16"/>
  <c r="F145" i="19" l="1"/>
  <c r="C147" i="18"/>
  <c r="E147" i="18" s="1"/>
  <c r="A148" i="18"/>
  <c r="G146" i="18"/>
  <c r="F146" i="18"/>
  <c r="B147" i="17"/>
  <c r="C147" i="17"/>
  <c r="D147" i="17"/>
  <c r="G145" i="17"/>
  <c r="F145" i="17"/>
  <c r="E146" i="17"/>
  <c r="D154" i="20"/>
  <c r="G154" i="20" s="1"/>
  <c r="H154" i="20"/>
  <c r="K154" i="20" s="1"/>
  <c r="L156" i="20"/>
  <c r="M155" i="20"/>
  <c r="A156" i="20"/>
  <c r="B155" i="20"/>
  <c r="C155" i="20"/>
  <c r="E146" i="19"/>
  <c r="F146" i="19" s="1"/>
  <c r="C147" i="19"/>
  <c r="D147" i="19"/>
  <c r="B147" i="19"/>
  <c r="G145" i="16"/>
  <c r="F145" i="16"/>
  <c r="K146" i="19"/>
  <c r="L145" i="19"/>
  <c r="M145" i="19"/>
  <c r="H147" i="19"/>
  <c r="I147" i="19"/>
  <c r="J147" i="19"/>
  <c r="A148" i="19"/>
  <c r="I150" i="18"/>
  <c r="K150" i="18" s="1"/>
  <c r="L149" i="18"/>
  <c r="M149" i="18"/>
  <c r="B147" i="16"/>
  <c r="C147" i="16"/>
  <c r="D147" i="16"/>
  <c r="E146" i="16"/>
  <c r="I147" i="17"/>
  <c r="J147" i="17"/>
  <c r="A148" i="17"/>
  <c r="H147" i="17"/>
  <c r="M145" i="17"/>
  <c r="L145" i="17"/>
  <c r="K146" i="17"/>
  <c r="K146" i="16"/>
  <c r="I147" i="16"/>
  <c r="J147" i="16"/>
  <c r="A148" i="16"/>
  <c r="H147" i="16"/>
  <c r="L145" i="16"/>
  <c r="M145" i="16"/>
  <c r="C148" i="18" l="1"/>
  <c r="E148" i="18" s="1"/>
  <c r="A149" i="18"/>
  <c r="F147" i="18"/>
  <c r="G147" i="18"/>
  <c r="E147" i="17"/>
  <c r="G146" i="17"/>
  <c r="F146" i="17"/>
  <c r="C148" i="17"/>
  <c r="D148" i="17"/>
  <c r="B148" i="17"/>
  <c r="G146" i="19"/>
  <c r="D155" i="20"/>
  <c r="G155" i="20" s="1"/>
  <c r="H155" i="20"/>
  <c r="K155" i="20" s="1"/>
  <c r="P155" i="20"/>
  <c r="Q155" i="20" s="1"/>
  <c r="N155" i="20"/>
  <c r="O155" i="20" s="1"/>
  <c r="L157" i="20"/>
  <c r="M156" i="20"/>
  <c r="N156" i="20" s="1"/>
  <c r="O156" i="20" s="1"/>
  <c r="A157" i="20"/>
  <c r="C156" i="20"/>
  <c r="B156" i="20"/>
  <c r="D148" i="19"/>
  <c r="B148" i="19"/>
  <c r="C148" i="19"/>
  <c r="E147" i="19"/>
  <c r="G146" i="16"/>
  <c r="F146" i="16"/>
  <c r="M146" i="19"/>
  <c r="L146" i="19"/>
  <c r="H148" i="19"/>
  <c r="I148" i="19"/>
  <c r="A149" i="19"/>
  <c r="J148" i="19"/>
  <c r="K147" i="19"/>
  <c r="L150" i="18"/>
  <c r="M150" i="18"/>
  <c r="E147" i="16"/>
  <c r="D148" i="16"/>
  <c r="B148" i="16"/>
  <c r="C148" i="16"/>
  <c r="L146" i="17"/>
  <c r="M146" i="17"/>
  <c r="H148" i="17"/>
  <c r="J148" i="17"/>
  <c r="A149" i="17"/>
  <c r="I148" i="17"/>
  <c r="K147" i="17"/>
  <c r="H148" i="16"/>
  <c r="I148" i="16"/>
  <c r="J148" i="16"/>
  <c r="A149" i="16"/>
  <c r="K147" i="16"/>
  <c r="L146" i="16"/>
  <c r="M146" i="16"/>
  <c r="C149" i="18" l="1"/>
  <c r="E149" i="18" s="1"/>
  <c r="A150" i="18"/>
  <c r="G148" i="18"/>
  <c r="F148" i="18"/>
  <c r="E148" i="17"/>
  <c r="G148" i="17" s="1"/>
  <c r="D149" i="17"/>
  <c r="B149" i="17"/>
  <c r="C149" i="17"/>
  <c r="G147" i="17"/>
  <c r="F147" i="17"/>
  <c r="D156" i="20"/>
  <c r="G156" i="20" s="1"/>
  <c r="H156" i="20"/>
  <c r="K156" i="20" s="1"/>
  <c r="L158" i="20"/>
  <c r="M157" i="20"/>
  <c r="A158" i="20"/>
  <c r="B157" i="20"/>
  <c r="C157" i="20"/>
  <c r="E148" i="16"/>
  <c r="G148" i="16" s="1"/>
  <c r="F147" i="19"/>
  <c r="G147" i="19"/>
  <c r="B149" i="19"/>
  <c r="C149" i="19"/>
  <c r="D149" i="19"/>
  <c r="E148" i="19"/>
  <c r="G147" i="16"/>
  <c r="F147" i="16"/>
  <c r="J149" i="19"/>
  <c r="A150" i="19"/>
  <c r="H149" i="19"/>
  <c r="I149" i="19"/>
  <c r="L147" i="19"/>
  <c r="M147" i="19"/>
  <c r="K148" i="19"/>
  <c r="D149" i="16"/>
  <c r="B149" i="16"/>
  <c r="C149" i="16"/>
  <c r="I149" i="17"/>
  <c r="H149" i="17"/>
  <c r="J149" i="17"/>
  <c r="A150" i="17"/>
  <c r="K148" i="17"/>
  <c r="M147" i="17"/>
  <c r="L147" i="17"/>
  <c r="K148" i="16"/>
  <c r="L148" i="16" s="1"/>
  <c r="H149" i="16"/>
  <c r="A150" i="16"/>
  <c r="I149" i="16"/>
  <c r="J149" i="16"/>
  <c r="M147" i="16"/>
  <c r="L147" i="16"/>
  <c r="F148" i="17" l="1"/>
  <c r="C150" i="18"/>
  <c r="E150" i="18" s="1"/>
  <c r="A151" i="18"/>
  <c r="F149" i="18"/>
  <c r="G149" i="18"/>
  <c r="B150" i="17"/>
  <c r="D150" i="17"/>
  <c r="C150" i="17"/>
  <c r="E149" i="17"/>
  <c r="F148" i="16"/>
  <c r="D157" i="20"/>
  <c r="G157" i="20" s="1"/>
  <c r="H157" i="20"/>
  <c r="K157" i="20" s="1"/>
  <c r="P157" i="20"/>
  <c r="Q157" i="20" s="1"/>
  <c r="N157" i="20"/>
  <c r="O157" i="20" s="1"/>
  <c r="L159" i="20"/>
  <c r="M158" i="20"/>
  <c r="N158" i="20" s="1"/>
  <c r="O158" i="20" s="1"/>
  <c r="A159" i="20"/>
  <c r="B158" i="20"/>
  <c r="C158" i="20"/>
  <c r="K149" i="17"/>
  <c r="L149" i="17" s="1"/>
  <c r="B150" i="19"/>
  <c r="C150" i="19"/>
  <c r="D150" i="19"/>
  <c r="E149" i="19"/>
  <c r="G148" i="19"/>
  <c r="F148" i="19"/>
  <c r="K149" i="19"/>
  <c r="L148" i="19"/>
  <c r="M148" i="19"/>
  <c r="I150" i="19"/>
  <c r="J150" i="19"/>
  <c r="H150" i="19"/>
  <c r="B150" i="16"/>
  <c r="C150" i="16"/>
  <c r="D150" i="16"/>
  <c r="M148" i="16"/>
  <c r="E149" i="16"/>
  <c r="L148" i="17"/>
  <c r="M148" i="17"/>
  <c r="J150" i="17"/>
  <c r="A151" i="17"/>
  <c r="H150" i="17"/>
  <c r="I150" i="17"/>
  <c r="I150" i="16"/>
  <c r="A151" i="16"/>
  <c r="J150" i="16"/>
  <c r="H150" i="16"/>
  <c r="K149" i="16"/>
  <c r="I151" i="18" l="1"/>
  <c r="K151" i="18" s="1"/>
  <c r="C151" i="18"/>
  <c r="E151" i="18" s="1"/>
  <c r="F150" i="18"/>
  <c r="G150" i="18"/>
  <c r="M149" i="17"/>
  <c r="C151" i="17"/>
  <c r="D151" i="17"/>
  <c r="B151" i="17"/>
  <c r="G149" i="17"/>
  <c r="F149" i="17"/>
  <c r="E150" i="17"/>
  <c r="D158" i="20"/>
  <c r="G158" i="20" s="1"/>
  <c r="H158" i="20"/>
  <c r="K158" i="20" s="1"/>
  <c r="L160" i="20"/>
  <c r="M159" i="20"/>
  <c r="A160" i="20"/>
  <c r="B159" i="20"/>
  <c r="C159" i="20"/>
  <c r="K150" i="19"/>
  <c r="L150" i="19" s="1"/>
  <c r="E150" i="19"/>
  <c r="G150" i="19" s="1"/>
  <c r="F149" i="19"/>
  <c r="G149" i="19"/>
  <c r="G149" i="16"/>
  <c r="F149" i="16"/>
  <c r="L149" i="19"/>
  <c r="M149" i="19"/>
  <c r="E150" i="16"/>
  <c r="C151" i="16"/>
  <c r="D151" i="16"/>
  <c r="B151" i="16"/>
  <c r="I151" i="17"/>
  <c r="J151" i="17"/>
  <c r="H151" i="17"/>
  <c r="K150" i="17"/>
  <c r="K150" i="16"/>
  <c r="H151" i="16"/>
  <c r="I151" i="16"/>
  <c r="J151" i="16"/>
  <c r="L149" i="16"/>
  <c r="M149" i="16"/>
  <c r="F151" i="18" l="1"/>
  <c r="G151" i="18"/>
  <c r="M151" i="18"/>
  <c r="L151" i="18"/>
  <c r="F150" i="17"/>
  <c r="G150" i="17"/>
  <c r="E151" i="17"/>
  <c r="M150" i="19"/>
  <c r="F150" i="19"/>
  <c r="D159" i="20"/>
  <c r="G159" i="20" s="1"/>
  <c r="H159" i="20"/>
  <c r="K159" i="20" s="1"/>
  <c r="P159" i="20"/>
  <c r="Q159" i="20" s="1"/>
  <c r="N159" i="20"/>
  <c r="O159" i="20" s="1"/>
  <c r="L161" i="20"/>
  <c r="M160" i="20"/>
  <c r="N160" i="20" s="1"/>
  <c r="O160" i="20" s="1"/>
  <c r="A161" i="20"/>
  <c r="B160" i="20"/>
  <c r="C160" i="20"/>
  <c r="G150" i="16"/>
  <c r="F150" i="16"/>
  <c r="E151" i="16"/>
  <c r="L150" i="17"/>
  <c r="M150" i="17"/>
  <c r="K151" i="17"/>
  <c r="K151" i="16"/>
  <c r="M150" i="16"/>
  <c r="L150" i="16"/>
  <c r="G151" i="17" l="1"/>
  <c r="F151" i="17"/>
  <c r="D160" i="20"/>
  <c r="G160" i="20" s="1"/>
  <c r="H160" i="20"/>
  <c r="K160" i="20" s="1"/>
  <c r="L162" i="20"/>
  <c r="M161" i="20"/>
  <c r="A162" i="20"/>
  <c r="C161" i="20"/>
  <c r="B161" i="20"/>
  <c r="G151" i="16"/>
  <c r="F151" i="16"/>
  <c r="M151" i="17"/>
  <c r="L151" i="17"/>
  <c r="L151" i="16"/>
  <c r="M151" i="16"/>
  <c r="D161" i="20" l="1"/>
  <c r="G161" i="20" s="1"/>
  <c r="H161" i="20"/>
  <c r="K161" i="20" s="1"/>
  <c r="P161" i="20"/>
  <c r="Q161" i="20" s="1"/>
  <c r="N161" i="20"/>
  <c r="O161" i="20" s="1"/>
  <c r="L163" i="20"/>
  <c r="M162" i="20"/>
  <c r="N162" i="20" s="1"/>
  <c r="O162" i="20" s="1"/>
  <c r="A163" i="20"/>
  <c r="B162" i="20"/>
  <c r="C162" i="20"/>
  <c r="D162" i="20" l="1"/>
  <c r="G162" i="20" s="1"/>
  <c r="H162" i="20"/>
  <c r="K162" i="20" s="1"/>
  <c r="L164" i="20"/>
  <c r="M163" i="20"/>
  <c r="A164" i="20"/>
  <c r="B163" i="20"/>
  <c r="C163" i="20"/>
  <c r="D163" i="20" l="1"/>
  <c r="G163" i="20" s="1"/>
  <c r="H163" i="20"/>
  <c r="K163" i="20" s="1"/>
  <c r="P163" i="20"/>
  <c r="Q163" i="20" s="1"/>
  <c r="N163" i="20"/>
  <c r="O163" i="20" s="1"/>
  <c r="L165" i="20"/>
  <c r="M164" i="20"/>
  <c r="N164" i="20" s="1"/>
  <c r="O164" i="20" s="1"/>
  <c r="A165" i="20"/>
  <c r="B164" i="20"/>
  <c r="C164" i="20"/>
  <c r="D164" i="20" l="1"/>
  <c r="G164" i="20" s="1"/>
  <c r="H164" i="20"/>
  <c r="K164" i="20" s="1"/>
  <c r="L166" i="20"/>
  <c r="M165" i="20"/>
  <c r="A166" i="20"/>
  <c r="C165" i="20"/>
  <c r="B165" i="20"/>
  <c r="D165" i="20" l="1"/>
  <c r="G165" i="20" s="1"/>
  <c r="H165" i="20"/>
  <c r="K165" i="20" s="1"/>
  <c r="L167" i="20"/>
  <c r="M166" i="20"/>
  <c r="N166" i="20" s="1"/>
  <c r="O166" i="20" s="1"/>
  <c r="P165" i="20"/>
  <c r="Q165" i="20" s="1"/>
  <c r="N165" i="20"/>
  <c r="O165" i="20" s="1"/>
  <c r="A167" i="20"/>
  <c r="B166" i="20"/>
  <c r="C166" i="20"/>
  <c r="D166" i="20" l="1"/>
  <c r="G166" i="20" s="1"/>
  <c r="H166" i="20"/>
  <c r="K166" i="20" s="1"/>
  <c r="L168" i="20"/>
  <c r="M167" i="20"/>
  <c r="A168" i="20"/>
  <c r="B167" i="20"/>
  <c r="C167" i="20"/>
  <c r="D167" i="20" l="1"/>
  <c r="G167" i="20" s="1"/>
  <c r="H167" i="20"/>
  <c r="K167" i="20" s="1"/>
  <c r="L169" i="20"/>
  <c r="M168" i="20"/>
  <c r="N168" i="20" s="1"/>
  <c r="O168" i="20" s="1"/>
  <c r="P167" i="20"/>
  <c r="Q167" i="20" s="1"/>
  <c r="N167" i="20"/>
  <c r="O167" i="20" s="1"/>
  <c r="A169" i="20"/>
  <c r="B168" i="20"/>
  <c r="C168" i="20"/>
  <c r="D168" i="20" l="1"/>
  <c r="G168" i="20" s="1"/>
  <c r="H168" i="20"/>
  <c r="K168" i="20" s="1"/>
  <c r="L170" i="20"/>
  <c r="M170" i="20" s="1"/>
  <c r="N170" i="20" s="1"/>
  <c r="O170" i="20" s="1"/>
  <c r="M169" i="20"/>
  <c r="A170" i="20"/>
  <c r="C169" i="20"/>
  <c r="B169" i="20"/>
  <c r="D169" i="20" l="1"/>
  <c r="G169" i="20" s="1"/>
  <c r="H169" i="20"/>
  <c r="K169" i="20" s="1"/>
  <c r="P169" i="20"/>
  <c r="Q169" i="20" s="1"/>
  <c r="N169" i="20"/>
  <c r="O169" i="20" s="1"/>
  <c r="B170" i="20"/>
  <c r="C170" i="20"/>
  <c r="D170" i="20" l="1"/>
  <c r="G170" i="20" s="1"/>
  <c r="H170" i="20"/>
  <c r="K170" i="20" s="1"/>
</calcChain>
</file>

<file path=xl/comments1.xml><?xml version="1.0" encoding="utf-8"?>
<comments xmlns="http://schemas.openxmlformats.org/spreadsheetml/2006/main">
  <authors>
    <author>za</author>
  </authors>
  <commentList>
    <comment ref="L8" authorId="0" shapeId="0">
      <text>
        <r>
          <rPr>
            <sz val="9"/>
            <color indexed="81"/>
            <rFont val="Tahoma"/>
            <family val="2"/>
          </rPr>
          <t xml:space="preserve">For considering OCC, please refre to Table 5-3 of BPVC Sec VII Div 2, 2010
</t>
        </r>
      </text>
    </comment>
  </commentList>
</comments>
</file>

<file path=xl/comments2.xml><?xml version="1.0" encoding="utf-8"?>
<comments xmlns="http://schemas.openxmlformats.org/spreadsheetml/2006/main">
  <authors>
    <author>za</author>
  </authors>
  <commentList>
    <comment ref="A189" authorId="0" shapeId="0">
      <text>
        <r>
          <rPr>
            <b/>
            <sz val="9"/>
            <color indexed="81"/>
            <rFont val="Tahoma"/>
            <family val="2"/>
          </rPr>
          <t>Between Sus and Exp</t>
        </r>
        <r>
          <rPr>
            <sz val="9"/>
            <color indexed="81"/>
            <rFont val="Tahoma"/>
            <family val="2"/>
          </rPr>
          <t xml:space="preserve">
</t>
        </r>
      </text>
    </comment>
    <comment ref="A190" authorId="0" shapeId="0">
      <text>
        <r>
          <rPr>
            <b/>
            <sz val="9"/>
            <color indexed="81"/>
            <rFont val="Tahoma"/>
            <family val="2"/>
          </rPr>
          <t xml:space="preserve">Between Sus and Exp
</t>
        </r>
        <r>
          <rPr>
            <sz val="9"/>
            <color indexed="81"/>
            <rFont val="Tahoma"/>
            <family val="2"/>
          </rPr>
          <t xml:space="preserve">
</t>
        </r>
      </text>
    </comment>
  </commentList>
</comments>
</file>

<file path=xl/sharedStrings.xml><?xml version="1.0" encoding="utf-8"?>
<sst xmlns="http://schemas.openxmlformats.org/spreadsheetml/2006/main" count="578" uniqueCount="283">
  <si>
    <t>Local Stress Calculation Sheet</t>
  </si>
  <si>
    <t>RUN PIPE</t>
  </si>
  <si>
    <r>
      <t>Pipe Size (</t>
    </r>
    <r>
      <rPr>
        <b/>
        <i/>
        <sz val="10"/>
        <color theme="1"/>
        <rFont val="Arial"/>
        <family val="2"/>
      </rPr>
      <t>D</t>
    </r>
    <r>
      <rPr>
        <i/>
        <sz val="10"/>
        <color theme="1"/>
        <rFont val="Arial"/>
        <family val="2"/>
      </rPr>
      <t>, mm)</t>
    </r>
  </si>
  <si>
    <r>
      <t>Thickness (</t>
    </r>
    <r>
      <rPr>
        <b/>
        <i/>
        <sz val="10"/>
        <color theme="1"/>
        <rFont val="Arial"/>
        <family val="2"/>
      </rPr>
      <t>T</t>
    </r>
    <r>
      <rPr>
        <i/>
        <sz val="10"/>
        <color theme="1"/>
        <rFont val="Arial"/>
        <family val="2"/>
      </rPr>
      <t>, mm)</t>
    </r>
  </si>
  <si>
    <r>
      <t>Mill-Tolerance (</t>
    </r>
    <r>
      <rPr>
        <b/>
        <i/>
        <sz val="10"/>
        <color theme="1"/>
        <rFont val="Arial"/>
        <family val="2"/>
      </rPr>
      <t>MT</t>
    </r>
    <r>
      <rPr>
        <i/>
        <sz val="10"/>
        <color theme="1"/>
        <rFont val="Arial"/>
        <family val="2"/>
      </rPr>
      <t>, %)</t>
    </r>
  </si>
  <si>
    <r>
      <t>Corrosion Allowance (</t>
    </r>
    <r>
      <rPr>
        <b/>
        <i/>
        <sz val="10"/>
        <color theme="1"/>
        <rFont val="Arial"/>
        <family val="2"/>
      </rPr>
      <t>C</t>
    </r>
    <r>
      <rPr>
        <i/>
        <sz val="10"/>
        <color theme="1"/>
        <rFont val="Arial"/>
        <family val="2"/>
      </rPr>
      <t>, mm)</t>
    </r>
  </si>
  <si>
    <t>Pipe Geometry</t>
  </si>
  <si>
    <t>Pipe Material</t>
  </si>
  <si>
    <r>
      <t>Cold Allowable Stress (</t>
    </r>
    <r>
      <rPr>
        <b/>
        <i/>
        <sz val="10"/>
        <color theme="1"/>
        <rFont val="Arial"/>
        <family val="2"/>
      </rPr>
      <t>S</t>
    </r>
    <r>
      <rPr>
        <b/>
        <i/>
        <vertAlign val="subscript"/>
        <sz val="10"/>
        <color theme="1"/>
        <rFont val="Arial"/>
        <family val="2"/>
      </rPr>
      <t>c</t>
    </r>
    <r>
      <rPr>
        <i/>
        <vertAlign val="subscript"/>
        <sz val="10"/>
        <color theme="1"/>
        <rFont val="Arial"/>
        <family val="2"/>
      </rPr>
      <t xml:space="preserve">, </t>
    </r>
    <r>
      <rPr>
        <i/>
        <sz val="10"/>
        <color theme="1"/>
        <rFont val="Arial"/>
        <family val="2"/>
      </rPr>
      <t>Mpa)</t>
    </r>
  </si>
  <si>
    <t>Material</t>
  </si>
  <si>
    <t>Design Code</t>
  </si>
  <si>
    <t>B31.3</t>
  </si>
  <si>
    <t>Design Condition</t>
  </si>
  <si>
    <r>
      <t>Design Temperature (</t>
    </r>
    <r>
      <rPr>
        <b/>
        <i/>
        <sz val="10"/>
        <color theme="1"/>
        <rFont val="Arial"/>
        <family val="2"/>
      </rPr>
      <t>T</t>
    </r>
    <r>
      <rPr>
        <i/>
        <sz val="10"/>
        <color theme="1"/>
        <rFont val="Arial"/>
        <family val="2"/>
      </rPr>
      <t xml:space="preserve">, </t>
    </r>
    <r>
      <rPr>
        <sz val="10"/>
        <color theme="1"/>
        <rFont val="Calibri"/>
        <family val="2"/>
      </rPr>
      <t>◦)</t>
    </r>
  </si>
  <si>
    <r>
      <t>Design Pressure (</t>
    </r>
    <r>
      <rPr>
        <b/>
        <i/>
        <sz val="10"/>
        <color theme="1"/>
        <rFont val="Arial"/>
        <family val="2"/>
      </rPr>
      <t>P</t>
    </r>
    <r>
      <rPr>
        <i/>
        <sz val="10"/>
        <color theme="1"/>
        <rFont val="Arial"/>
        <family val="2"/>
      </rPr>
      <t>, kPag</t>
    </r>
    <r>
      <rPr>
        <sz val="10"/>
        <color theme="1"/>
        <rFont val="Calibri"/>
        <family val="2"/>
      </rPr>
      <t>)</t>
    </r>
  </si>
  <si>
    <t>Design External Loads</t>
  </si>
  <si>
    <t>ATTACHMENT</t>
  </si>
  <si>
    <t>Pipe</t>
  </si>
  <si>
    <t>Structural A</t>
  </si>
  <si>
    <t>Structural B</t>
  </si>
  <si>
    <t>Structural C</t>
  </si>
  <si>
    <r>
      <t>Trunnion Size (</t>
    </r>
    <r>
      <rPr>
        <b/>
        <i/>
        <sz val="10"/>
        <color theme="1"/>
        <rFont val="Arial"/>
        <family val="2"/>
      </rPr>
      <t>d</t>
    </r>
    <r>
      <rPr>
        <i/>
        <sz val="10"/>
        <color theme="1"/>
        <rFont val="Arial"/>
        <family val="2"/>
      </rPr>
      <t>, mm)</t>
    </r>
  </si>
  <si>
    <r>
      <t>Pad Thickness (</t>
    </r>
    <r>
      <rPr>
        <b/>
        <i/>
        <sz val="10"/>
        <color theme="1"/>
        <rFont val="Arial"/>
        <family val="2"/>
      </rPr>
      <t>Tp</t>
    </r>
    <r>
      <rPr>
        <i/>
        <sz val="10"/>
        <color theme="1"/>
        <rFont val="Arial"/>
        <family val="2"/>
      </rPr>
      <t>, mm)</t>
    </r>
  </si>
  <si>
    <r>
      <t>Trunnion Height (</t>
    </r>
    <r>
      <rPr>
        <b/>
        <i/>
        <sz val="10"/>
        <color theme="1"/>
        <rFont val="Arial"/>
        <family val="2"/>
      </rPr>
      <t>H</t>
    </r>
    <r>
      <rPr>
        <i/>
        <sz val="10"/>
        <color theme="1"/>
        <rFont val="Arial"/>
        <family val="2"/>
      </rPr>
      <t>,mm)</t>
    </r>
  </si>
  <si>
    <r>
      <t>Web Length (</t>
    </r>
    <r>
      <rPr>
        <b/>
        <i/>
        <sz val="10"/>
        <color theme="1"/>
        <rFont val="Arial"/>
        <family val="2"/>
      </rPr>
      <t>L</t>
    </r>
    <r>
      <rPr>
        <i/>
        <sz val="10"/>
        <color theme="1"/>
        <rFont val="Arial"/>
        <family val="2"/>
      </rPr>
      <t>, mm)</t>
    </r>
  </si>
  <si>
    <r>
      <t>Web Thickness (</t>
    </r>
    <r>
      <rPr>
        <b/>
        <i/>
        <sz val="10"/>
        <color theme="1"/>
        <rFont val="Arial"/>
        <family val="2"/>
      </rPr>
      <t>t</t>
    </r>
    <r>
      <rPr>
        <b/>
        <i/>
        <vertAlign val="subscript"/>
        <sz val="10"/>
        <color theme="1"/>
        <rFont val="Arial"/>
        <family val="2"/>
      </rPr>
      <t>w</t>
    </r>
    <r>
      <rPr>
        <i/>
        <sz val="10"/>
        <color theme="1"/>
        <rFont val="Arial"/>
        <family val="2"/>
      </rPr>
      <t>, mm)</t>
    </r>
  </si>
  <si>
    <r>
      <t>Axial Force (</t>
    </r>
    <r>
      <rPr>
        <b/>
        <i/>
        <sz val="10"/>
        <color theme="1"/>
        <rFont val="Arial"/>
        <family val="2"/>
      </rPr>
      <t>F</t>
    </r>
    <r>
      <rPr>
        <b/>
        <i/>
        <vertAlign val="subscript"/>
        <sz val="10"/>
        <color theme="1"/>
        <rFont val="Arial"/>
        <family val="2"/>
      </rPr>
      <t>A</t>
    </r>
    <r>
      <rPr>
        <b/>
        <i/>
        <sz val="10"/>
        <color theme="1"/>
        <rFont val="Arial"/>
        <family val="2"/>
      </rPr>
      <t>,</t>
    </r>
    <r>
      <rPr>
        <i/>
        <sz val="10"/>
        <color theme="1"/>
        <rFont val="Arial"/>
        <family val="2"/>
      </rPr>
      <t xml:space="preserve"> KN)</t>
    </r>
  </si>
  <si>
    <r>
      <t>Longitudinal Force (</t>
    </r>
    <r>
      <rPr>
        <b/>
        <i/>
        <sz val="10"/>
        <color theme="1"/>
        <rFont val="Arial"/>
        <family val="2"/>
      </rPr>
      <t>F</t>
    </r>
    <r>
      <rPr>
        <b/>
        <i/>
        <vertAlign val="subscript"/>
        <sz val="10"/>
        <color theme="1"/>
        <rFont val="Arial"/>
        <family val="2"/>
      </rPr>
      <t>L</t>
    </r>
    <r>
      <rPr>
        <b/>
        <i/>
        <sz val="10"/>
        <color theme="1"/>
        <rFont val="Arial"/>
        <family val="2"/>
      </rPr>
      <t>,</t>
    </r>
    <r>
      <rPr>
        <i/>
        <sz val="10"/>
        <color theme="1"/>
        <rFont val="Arial"/>
        <family val="2"/>
      </rPr>
      <t xml:space="preserve"> KN)</t>
    </r>
  </si>
  <si>
    <r>
      <t>Circumferential Force (</t>
    </r>
    <r>
      <rPr>
        <b/>
        <i/>
        <sz val="10"/>
        <color theme="1"/>
        <rFont val="Arial"/>
        <family val="2"/>
      </rPr>
      <t>F</t>
    </r>
    <r>
      <rPr>
        <b/>
        <i/>
        <vertAlign val="subscript"/>
        <sz val="10"/>
        <color theme="1"/>
        <rFont val="Arial"/>
        <family val="2"/>
      </rPr>
      <t>c</t>
    </r>
    <r>
      <rPr>
        <b/>
        <i/>
        <sz val="10"/>
        <color theme="1"/>
        <rFont val="Arial"/>
        <family val="2"/>
      </rPr>
      <t>,</t>
    </r>
    <r>
      <rPr>
        <i/>
        <sz val="10"/>
        <color theme="1"/>
        <rFont val="Arial"/>
        <family val="2"/>
      </rPr>
      <t xml:space="preserve"> KN)</t>
    </r>
  </si>
  <si>
    <r>
      <t>Distance between Webs (</t>
    </r>
    <r>
      <rPr>
        <b/>
        <i/>
        <sz val="10"/>
        <color theme="1"/>
        <rFont val="Arial"/>
        <family val="2"/>
      </rPr>
      <t>B</t>
    </r>
    <r>
      <rPr>
        <i/>
        <sz val="10"/>
        <color theme="1"/>
        <rFont val="Arial"/>
        <family val="2"/>
      </rPr>
      <t>, mm)</t>
    </r>
  </si>
  <si>
    <r>
      <t>Flange Length (</t>
    </r>
    <r>
      <rPr>
        <b/>
        <i/>
        <sz val="10"/>
        <color theme="1"/>
        <rFont val="Arial"/>
        <family val="2"/>
      </rPr>
      <t>W</t>
    </r>
    <r>
      <rPr>
        <i/>
        <sz val="10"/>
        <color theme="1"/>
        <rFont val="Arial"/>
        <family val="2"/>
      </rPr>
      <t>, mm)</t>
    </r>
  </si>
  <si>
    <r>
      <t>Flange Thickness (</t>
    </r>
    <r>
      <rPr>
        <b/>
        <i/>
        <sz val="10"/>
        <color theme="1"/>
        <rFont val="Arial"/>
        <family val="2"/>
      </rPr>
      <t>t</t>
    </r>
    <r>
      <rPr>
        <b/>
        <i/>
        <vertAlign val="subscript"/>
        <sz val="10"/>
        <color theme="1"/>
        <rFont val="Arial"/>
        <family val="2"/>
      </rPr>
      <t>f</t>
    </r>
    <r>
      <rPr>
        <i/>
        <sz val="10"/>
        <color theme="1"/>
        <rFont val="Arial"/>
        <family val="2"/>
      </rPr>
      <t>, mm)</t>
    </r>
  </si>
  <si>
    <r>
      <t>Saddle Angle (</t>
    </r>
    <r>
      <rPr>
        <b/>
        <sz val="10"/>
        <color theme="1"/>
        <rFont val="Calibri"/>
        <family val="2"/>
      </rPr>
      <t>θ</t>
    </r>
    <r>
      <rPr>
        <i/>
        <sz val="10"/>
        <color theme="1"/>
        <rFont val="Arial"/>
        <family val="2"/>
      </rPr>
      <t xml:space="preserve">, </t>
    </r>
    <r>
      <rPr>
        <sz val="10"/>
        <color theme="1"/>
        <rFont val="Calibri"/>
        <family val="2"/>
      </rPr>
      <t>◦</t>
    </r>
    <r>
      <rPr>
        <i/>
        <sz val="10"/>
        <color theme="1"/>
        <rFont val="Arial"/>
        <family val="2"/>
      </rPr>
      <t>)</t>
    </r>
  </si>
  <si>
    <r>
      <t>Support Height (</t>
    </r>
    <r>
      <rPr>
        <b/>
        <i/>
        <sz val="10"/>
        <color theme="1"/>
        <rFont val="Arial"/>
        <family val="2"/>
      </rPr>
      <t>H</t>
    </r>
    <r>
      <rPr>
        <i/>
        <sz val="10"/>
        <color theme="1"/>
        <rFont val="Arial"/>
        <family val="2"/>
      </rPr>
      <t>,mm)</t>
    </r>
  </si>
  <si>
    <t xml:space="preserve">SADDLE </t>
  </si>
  <si>
    <r>
      <t>Pad Thickness (</t>
    </r>
    <r>
      <rPr>
        <i/>
        <sz val="10"/>
        <color theme="1"/>
        <rFont val="Arial"/>
        <family val="2"/>
      </rPr>
      <t>mm)</t>
    </r>
  </si>
  <si>
    <t>Longitudinal Local Stress (Mpa)</t>
  </si>
  <si>
    <t>Circumferential Local Stress (Mpa)</t>
  </si>
  <si>
    <t>fL</t>
  </si>
  <si>
    <t>fC</t>
  </si>
  <si>
    <t>f</t>
  </si>
  <si>
    <r>
      <t>f</t>
    </r>
    <r>
      <rPr>
        <vertAlign val="subscript"/>
        <sz val="11"/>
        <color theme="1"/>
        <rFont val="Calibri"/>
        <family val="2"/>
        <scheme val="minor"/>
      </rPr>
      <t>A</t>
    </r>
  </si>
  <si>
    <r>
      <t>t</t>
    </r>
    <r>
      <rPr>
        <vertAlign val="subscript"/>
        <sz val="11"/>
        <color theme="1"/>
        <rFont val="Calibri"/>
        <family val="2"/>
        <scheme val="minor"/>
      </rPr>
      <t>net</t>
    </r>
  </si>
  <si>
    <t>mm</t>
  </si>
  <si>
    <t>SL</t>
  </si>
  <si>
    <t>Mpa</t>
  </si>
  <si>
    <t>N/m</t>
  </si>
  <si>
    <t>Sc</t>
  </si>
  <si>
    <t>fc</t>
  </si>
  <si>
    <t>fA</t>
  </si>
  <si>
    <t>Sus</t>
  </si>
  <si>
    <t>Exp</t>
  </si>
  <si>
    <t>EXP</t>
  </si>
  <si>
    <t>SUS</t>
  </si>
  <si>
    <t>Pipe Trunnion Cal(SUS)</t>
  </si>
  <si>
    <t>Pipe Trunnion Cal(EXP)</t>
  </si>
  <si>
    <t>Structrual A(SUS)</t>
  </si>
  <si>
    <t>Structrual A(EXP)</t>
  </si>
  <si>
    <t>Structrual B(SUS)</t>
  </si>
  <si>
    <t>Structrual B(EXP)</t>
  </si>
  <si>
    <t>Deg to Rad</t>
  </si>
  <si>
    <t>Structrual C(SUS)</t>
  </si>
  <si>
    <t>Structrual C(EXP)</t>
  </si>
  <si>
    <t>M (N.m)</t>
  </si>
  <si>
    <t>d (mm)</t>
  </si>
  <si>
    <t>Trunnion diameter Increment</t>
  </si>
  <si>
    <t>Max. Trunnion diameter (mm)</t>
  </si>
  <si>
    <t>Load Case</t>
  </si>
  <si>
    <t>SC</t>
  </si>
  <si>
    <t>LOCAL STRESS VERSUS ATTACHEMENT PARAMETERS</t>
  </si>
  <si>
    <t>Max. Web Length (mm)</t>
  </si>
  <si>
    <t>Web Length Increment</t>
  </si>
  <si>
    <t>L(mm)</t>
  </si>
  <si>
    <t>Distance between Webs Increment</t>
  </si>
  <si>
    <t>Max. Distance between Webs (B, mm)</t>
  </si>
  <si>
    <t>B(mm)</t>
  </si>
  <si>
    <t>Max. Flange Length (mm)</t>
  </si>
  <si>
    <t>Flange Length Increment</t>
  </si>
  <si>
    <t>tnet</t>
  </si>
  <si>
    <t>W(mm)</t>
  </si>
  <si>
    <r>
      <t>Pad Thickness (</t>
    </r>
    <r>
      <rPr>
        <b/>
        <i/>
        <sz val="10"/>
        <color theme="1"/>
        <rFont val="Arial"/>
        <family val="2"/>
      </rPr>
      <t>Tp,</t>
    </r>
    <r>
      <rPr>
        <i/>
        <sz val="10"/>
        <color theme="1"/>
        <rFont val="Arial"/>
        <family val="2"/>
      </rPr>
      <t xml:space="preserve"> mm)</t>
    </r>
  </si>
  <si>
    <t>Max. Saddle Angle (deg.)</t>
  </si>
  <si>
    <t>Saddle Angle Increment</t>
  </si>
  <si>
    <r>
      <t>Angle at point B (</t>
    </r>
    <r>
      <rPr>
        <b/>
        <i/>
        <sz val="11"/>
        <color theme="1"/>
        <rFont val="Calibri"/>
        <family val="2"/>
      </rPr>
      <t>ϕ</t>
    </r>
    <r>
      <rPr>
        <i/>
        <sz val="10"/>
        <color theme="1"/>
        <rFont val="Arial"/>
        <family val="2"/>
      </rPr>
      <t>,deg)</t>
    </r>
  </si>
  <si>
    <r>
      <rPr>
        <b/>
        <i/>
        <sz val="11"/>
        <color theme="1"/>
        <rFont val="Arial"/>
        <family val="2"/>
      </rPr>
      <t>β</t>
    </r>
    <r>
      <rPr>
        <b/>
        <sz val="11"/>
        <color theme="1"/>
        <rFont val="Calibri"/>
        <family val="2"/>
      </rPr>
      <t xml:space="preserve"> </t>
    </r>
    <r>
      <rPr>
        <sz val="10"/>
        <color theme="1"/>
        <rFont val="Calibri"/>
        <family val="2"/>
      </rPr>
      <t>(deg)</t>
    </r>
  </si>
  <si>
    <t xml:space="preserve"> </t>
  </si>
  <si>
    <t>beta_rad</t>
  </si>
  <si>
    <t>Angle at B_Rad</t>
  </si>
  <si>
    <t>Moment at B</t>
  </si>
  <si>
    <t>Force at B  (KN)</t>
  </si>
  <si>
    <t>Circumferential Membrane Stress (MPa)</t>
  </si>
  <si>
    <t>Max. Circumferential  Bending Stress (MPa)</t>
  </si>
  <si>
    <t>Current Circumferential Membrane Stress</t>
  </si>
  <si>
    <t>Current Circumferential bending Stress</t>
  </si>
  <si>
    <t>Saddle Angle(deg)</t>
  </si>
  <si>
    <t>Saddle Angle Rad</t>
  </si>
  <si>
    <t>Beta (Rad)</t>
  </si>
  <si>
    <t>SC-mem</t>
  </si>
  <si>
    <t>SC-bend</t>
  </si>
  <si>
    <r>
      <t xml:space="preserve"> </t>
    </r>
    <r>
      <rPr>
        <b/>
        <sz val="11"/>
        <color theme="1"/>
        <rFont val="Calibri"/>
        <family val="2"/>
      </rPr>
      <t xml:space="preserve">ϕ </t>
    </r>
    <r>
      <rPr>
        <b/>
        <i/>
        <sz val="11"/>
        <color theme="1"/>
        <rFont val="Calibri"/>
        <family val="2"/>
        <scheme val="minor"/>
      </rPr>
      <t>(deg)</t>
    </r>
  </si>
  <si>
    <r>
      <rPr>
        <b/>
        <sz val="11"/>
        <color theme="1"/>
        <rFont val="Calibri"/>
        <family val="2"/>
      </rPr>
      <t>ϕ</t>
    </r>
    <r>
      <rPr>
        <b/>
        <i/>
        <sz val="11"/>
        <color theme="1"/>
        <rFont val="Calibri"/>
        <family val="2"/>
      </rPr>
      <t xml:space="preserve">  (</t>
    </r>
    <r>
      <rPr>
        <b/>
        <i/>
        <sz val="11"/>
        <color theme="1"/>
        <rFont val="Calibri"/>
        <family val="2"/>
        <scheme val="minor"/>
      </rPr>
      <t>Rad)</t>
    </r>
  </si>
  <si>
    <t>TRUNNION (Local Stresses Versus Trunnion Diameter)</t>
  </si>
  <si>
    <t>Structural A(Local Stresses Versus Web Length)</t>
  </si>
  <si>
    <t>Structural B (Local Stresses Versus Distance Between Webs)</t>
  </si>
  <si>
    <t>Structural C(Local Stresses Versus Flange Length)</t>
  </si>
  <si>
    <t>Saddle Zick's Model  (Local Stresses Versus Saddle Angle)</t>
  </si>
  <si>
    <t>k</t>
  </si>
  <si>
    <t>Smax</t>
  </si>
  <si>
    <t>Tnet</t>
  </si>
  <si>
    <r>
      <t>S</t>
    </r>
    <r>
      <rPr>
        <vertAlign val="subscript"/>
        <sz val="11"/>
        <color rgb="FF002060"/>
        <rFont val="Times New Roman"/>
        <family val="1"/>
      </rPr>
      <t>L-Pm</t>
    </r>
    <r>
      <rPr>
        <sz val="11"/>
        <color rgb="FF002060"/>
        <rFont val="Times New Roman"/>
        <family val="1"/>
      </rPr>
      <t>: Total longitudinal primary stress</t>
    </r>
  </si>
  <si>
    <t>Definition</t>
  </si>
  <si>
    <r>
      <t>S</t>
    </r>
    <r>
      <rPr>
        <vertAlign val="subscript"/>
        <sz val="11"/>
        <color rgb="FF002060"/>
        <rFont val="Times New Roman"/>
        <family val="1"/>
      </rPr>
      <t>C-Pm</t>
    </r>
    <r>
      <rPr>
        <sz val="11"/>
        <color rgb="FF002060"/>
        <rFont val="Times New Roman"/>
        <family val="1"/>
      </rPr>
      <t>: Circumferential primary stress</t>
    </r>
  </si>
  <si>
    <r>
      <t>S</t>
    </r>
    <r>
      <rPr>
        <vertAlign val="subscript"/>
        <sz val="11"/>
        <color rgb="FF002060"/>
        <rFont val="Times New Roman"/>
        <family val="1"/>
      </rPr>
      <t>L</t>
    </r>
    <r>
      <rPr>
        <sz val="11"/>
        <color rgb="FF002060"/>
        <rFont val="Times New Roman"/>
        <family val="1"/>
      </rPr>
      <t xml:space="preserve">: Longitudinal primary stress resulting from 
sustained loads excluded pressure </t>
    </r>
  </si>
  <si>
    <r>
      <t>General Primary Stress (P</t>
    </r>
    <r>
      <rPr>
        <b/>
        <i/>
        <vertAlign val="subscript"/>
        <sz val="10"/>
        <color rgb="FF0070C0"/>
        <rFont val="Arial"/>
        <family val="2"/>
      </rPr>
      <t>m</t>
    </r>
    <r>
      <rPr>
        <b/>
        <i/>
        <sz val="10"/>
        <color rgb="FF0070C0"/>
        <rFont val="Arial"/>
        <family val="2"/>
      </rPr>
      <t>)</t>
    </r>
  </si>
  <si>
    <r>
      <t>Local Primary Stress (P</t>
    </r>
    <r>
      <rPr>
        <b/>
        <i/>
        <vertAlign val="subscript"/>
        <sz val="10"/>
        <color rgb="FF0070C0"/>
        <rFont val="Arial"/>
        <family val="2"/>
      </rPr>
      <t>L</t>
    </r>
    <r>
      <rPr>
        <b/>
        <i/>
        <sz val="10"/>
        <color rgb="FF0070C0"/>
        <rFont val="Arial"/>
        <family val="2"/>
      </rPr>
      <t xml:space="preserve"> and Q</t>
    </r>
    <r>
      <rPr>
        <b/>
        <i/>
        <vertAlign val="subscript"/>
        <sz val="10"/>
        <color rgb="FF0070C0"/>
        <rFont val="Arial"/>
        <family val="2"/>
      </rPr>
      <t>b_Primary</t>
    </r>
    <r>
      <rPr>
        <b/>
        <i/>
        <sz val="10"/>
        <color rgb="FF0070C0"/>
        <rFont val="Arial"/>
        <family val="2"/>
      </rPr>
      <t>)</t>
    </r>
  </si>
  <si>
    <r>
      <t>General Secondary Stress (Q</t>
    </r>
    <r>
      <rPr>
        <b/>
        <i/>
        <vertAlign val="subscript"/>
        <sz val="10"/>
        <color rgb="FF0070C0"/>
        <rFont val="Arial"/>
        <family val="2"/>
      </rPr>
      <t>G</t>
    </r>
    <r>
      <rPr>
        <b/>
        <i/>
        <sz val="10"/>
        <color rgb="FF0070C0"/>
        <rFont val="Arial"/>
        <family val="2"/>
      </rPr>
      <t>)</t>
    </r>
  </si>
  <si>
    <r>
      <t>S</t>
    </r>
    <r>
      <rPr>
        <vertAlign val="subscript"/>
        <sz val="11"/>
        <color rgb="FF002060"/>
        <rFont val="Times New Roman"/>
        <family val="1"/>
      </rPr>
      <t>Lb-QG</t>
    </r>
    <r>
      <rPr>
        <sz val="11"/>
        <color rgb="FF002060"/>
        <rFont val="Times New Roman"/>
        <family val="1"/>
      </rPr>
      <t>: Longitudinal bending stress</t>
    </r>
  </si>
  <si>
    <r>
      <t>S</t>
    </r>
    <r>
      <rPr>
        <vertAlign val="subscript"/>
        <sz val="11"/>
        <color rgb="FF002060"/>
        <rFont val="Times New Roman"/>
        <family val="1"/>
      </rPr>
      <t>Cb-QG</t>
    </r>
    <r>
      <rPr>
        <sz val="11"/>
        <color rgb="FF002060"/>
        <rFont val="Times New Roman"/>
        <family val="1"/>
      </rPr>
      <t xml:space="preserve">: Circumferential bending stress </t>
    </r>
  </si>
  <si>
    <r>
      <t>S</t>
    </r>
    <r>
      <rPr>
        <vertAlign val="subscript"/>
        <sz val="11"/>
        <color rgb="FF002060"/>
        <rFont val="Times New Roman"/>
        <family val="1"/>
      </rPr>
      <t>Lm-QG</t>
    </r>
    <r>
      <rPr>
        <sz val="11"/>
        <color rgb="FF002060"/>
        <rFont val="Times New Roman"/>
        <family val="1"/>
      </rPr>
      <t>: Longitudinal membrane stress</t>
    </r>
  </si>
  <si>
    <r>
      <t>S</t>
    </r>
    <r>
      <rPr>
        <vertAlign val="subscript"/>
        <sz val="11"/>
        <color rgb="FF002060"/>
        <rFont val="Times New Roman"/>
        <family val="1"/>
      </rPr>
      <t>Cm-QG</t>
    </r>
    <r>
      <rPr>
        <sz val="11"/>
        <color rgb="FF002060"/>
        <rFont val="Times New Roman"/>
        <family val="1"/>
      </rPr>
      <t xml:space="preserve">: Circumferential membrane stress </t>
    </r>
  </si>
  <si>
    <r>
      <t>S</t>
    </r>
    <r>
      <rPr>
        <vertAlign val="subscript"/>
        <sz val="11"/>
        <color rgb="FF002060"/>
        <rFont val="Times New Roman"/>
        <family val="1"/>
      </rPr>
      <t>Lb-Qb_Primary</t>
    </r>
    <r>
      <rPr>
        <sz val="11"/>
        <color rgb="FF002060"/>
        <rFont val="Times New Roman"/>
        <family val="1"/>
      </rPr>
      <t>: Longitudinal bending stress</t>
    </r>
  </si>
  <si>
    <r>
      <t>S</t>
    </r>
    <r>
      <rPr>
        <vertAlign val="subscript"/>
        <sz val="11"/>
        <color rgb="FF002060"/>
        <rFont val="Times New Roman"/>
        <family val="1"/>
      </rPr>
      <t>Cb-Qb_Primary</t>
    </r>
    <r>
      <rPr>
        <sz val="11"/>
        <color rgb="FF002060"/>
        <rFont val="Times New Roman"/>
        <family val="1"/>
      </rPr>
      <t xml:space="preserve">: Circumferential bending stress </t>
    </r>
  </si>
  <si>
    <r>
      <t>S</t>
    </r>
    <r>
      <rPr>
        <vertAlign val="subscript"/>
        <sz val="11"/>
        <color rgb="FF002060"/>
        <rFont val="Times New Roman"/>
        <family val="1"/>
      </rPr>
      <t>Cm-PL</t>
    </r>
    <r>
      <rPr>
        <sz val="11"/>
        <color rgb="FF002060"/>
        <rFont val="Times New Roman"/>
        <family val="1"/>
      </rPr>
      <t>: Circumferential membrane stress</t>
    </r>
  </si>
  <si>
    <r>
      <t>S</t>
    </r>
    <r>
      <rPr>
        <vertAlign val="subscript"/>
        <sz val="11"/>
        <color rgb="FF002060"/>
        <rFont val="Times New Roman"/>
        <family val="1"/>
      </rPr>
      <t>Lm-PL</t>
    </r>
    <r>
      <rPr>
        <sz val="11"/>
        <color rgb="FF002060"/>
        <rFont val="Times New Roman"/>
        <family val="1"/>
      </rPr>
      <t>: Longitudinal membrane stress</t>
    </r>
  </si>
  <si>
    <r>
      <t>S</t>
    </r>
    <r>
      <rPr>
        <vertAlign val="subscript"/>
        <sz val="11"/>
        <color rgb="FF002060"/>
        <rFont val="Times New Roman"/>
        <family val="1"/>
      </rPr>
      <t>C-QG</t>
    </r>
    <r>
      <rPr>
        <sz val="11"/>
        <color rgb="FF002060"/>
        <rFont val="Times New Roman"/>
        <family val="1"/>
      </rPr>
      <t xml:space="preserve">: Total circumferential stresses </t>
    </r>
  </si>
  <si>
    <r>
      <t>S</t>
    </r>
    <r>
      <rPr>
        <vertAlign val="subscript"/>
        <sz val="11"/>
        <color rgb="FF002060"/>
        <rFont val="Times New Roman"/>
        <family val="1"/>
      </rPr>
      <t>L-QG</t>
    </r>
    <r>
      <rPr>
        <sz val="11"/>
        <color rgb="FF002060"/>
        <rFont val="Times New Roman"/>
        <family val="1"/>
      </rPr>
      <t>: Total longitudinal stresses</t>
    </r>
  </si>
  <si>
    <r>
      <t>Local Secondary Stress (Q</t>
    </r>
    <r>
      <rPr>
        <b/>
        <i/>
        <vertAlign val="subscript"/>
        <sz val="10"/>
        <color rgb="FF0070C0"/>
        <rFont val="Arial"/>
        <family val="2"/>
      </rPr>
      <t>L</t>
    </r>
    <r>
      <rPr>
        <b/>
        <i/>
        <sz val="10"/>
        <color rgb="FF0070C0"/>
        <rFont val="Arial"/>
        <family val="2"/>
      </rPr>
      <t>)</t>
    </r>
  </si>
  <si>
    <t xml:space="preserve">       : Total shear stresses</t>
  </si>
  <si>
    <r>
      <t>S</t>
    </r>
    <r>
      <rPr>
        <vertAlign val="subscript"/>
        <sz val="11"/>
        <color rgb="FF002060"/>
        <rFont val="Times New Roman"/>
        <family val="1"/>
      </rPr>
      <t>Lb-QL</t>
    </r>
    <r>
      <rPr>
        <sz val="11"/>
        <color rgb="FF002060"/>
        <rFont val="Times New Roman"/>
        <family val="1"/>
      </rPr>
      <t>: Longitudinal bending stress</t>
    </r>
  </si>
  <si>
    <r>
      <t>S</t>
    </r>
    <r>
      <rPr>
        <vertAlign val="subscript"/>
        <sz val="11"/>
        <color rgb="FF002060"/>
        <rFont val="Times New Roman"/>
        <family val="1"/>
      </rPr>
      <t>Cb-QL</t>
    </r>
    <r>
      <rPr>
        <sz val="11"/>
        <color rgb="FF002060"/>
        <rFont val="Times New Roman"/>
        <family val="1"/>
      </rPr>
      <t xml:space="preserve">: Circumferential bending stress </t>
    </r>
  </si>
  <si>
    <r>
      <t>S</t>
    </r>
    <r>
      <rPr>
        <vertAlign val="subscript"/>
        <sz val="11"/>
        <color rgb="FF002060"/>
        <rFont val="Times New Roman"/>
        <family val="1"/>
      </rPr>
      <t>Lm-QL</t>
    </r>
    <r>
      <rPr>
        <sz val="11"/>
        <color rgb="FF002060"/>
        <rFont val="Times New Roman"/>
        <family val="1"/>
      </rPr>
      <t>: Longitudinal membrane stress</t>
    </r>
  </si>
  <si>
    <r>
      <t>S</t>
    </r>
    <r>
      <rPr>
        <vertAlign val="subscript"/>
        <sz val="11"/>
        <color rgb="FF002060"/>
        <rFont val="Times New Roman"/>
        <family val="1"/>
      </rPr>
      <t>Cm-QL</t>
    </r>
    <r>
      <rPr>
        <sz val="11"/>
        <color rgb="FF002060"/>
        <rFont val="Times New Roman"/>
        <family val="1"/>
      </rPr>
      <t xml:space="preserve">: Circumferential membrane stress </t>
    </r>
  </si>
  <si>
    <r>
      <t>S</t>
    </r>
    <r>
      <rPr>
        <vertAlign val="subscript"/>
        <sz val="11"/>
        <color rgb="FF002060"/>
        <rFont val="Times New Roman"/>
        <family val="1"/>
      </rPr>
      <t>L-QL</t>
    </r>
    <r>
      <rPr>
        <sz val="11"/>
        <color rgb="FF002060"/>
        <rFont val="Times New Roman"/>
        <family val="1"/>
      </rPr>
      <t>: Total longitudinal stresses</t>
    </r>
  </si>
  <si>
    <r>
      <t>S</t>
    </r>
    <r>
      <rPr>
        <vertAlign val="subscript"/>
        <sz val="11"/>
        <color rgb="FF002060"/>
        <rFont val="Times New Roman"/>
        <family val="1"/>
      </rPr>
      <t>C-QL</t>
    </r>
    <r>
      <rPr>
        <sz val="11"/>
        <color rgb="FF002060"/>
        <rFont val="Times New Roman"/>
        <family val="1"/>
      </rPr>
      <t xml:space="preserve">: Total circumferential stresses </t>
    </r>
  </si>
  <si>
    <t xml:space="preserve">Shoop: Hoop stress </t>
  </si>
  <si>
    <t xml:space="preserve">                                                 (MPa)</t>
  </si>
  <si>
    <r>
      <t>Cold Allowable Stress (</t>
    </r>
    <r>
      <rPr>
        <b/>
        <i/>
        <sz val="10"/>
        <color theme="1"/>
        <rFont val="Arial"/>
        <family val="2"/>
      </rPr>
      <t>S</t>
    </r>
    <r>
      <rPr>
        <b/>
        <i/>
        <vertAlign val="subscript"/>
        <sz val="10"/>
        <color theme="1"/>
        <rFont val="Arial"/>
        <family val="2"/>
      </rPr>
      <t>h</t>
    </r>
    <r>
      <rPr>
        <i/>
        <sz val="10"/>
        <color theme="1"/>
        <rFont val="Arial"/>
        <family val="2"/>
      </rPr>
      <t>, Mpa)</t>
    </r>
  </si>
  <si>
    <t>Stress Category</t>
  </si>
  <si>
    <t>Result</t>
  </si>
  <si>
    <t>Total Longitudinal Stress (MPa)</t>
  </si>
  <si>
    <t>Total Circumferential Stress (MPa)</t>
  </si>
  <si>
    <t>Total Shear Stress (MPa)</t>
  </si>
  <si>
    <t xml:space="preserve">Von Mises Equivalent Stress (MPa) </t>
  </si>
  <si>
    <r>
      <t>S</t>
    </r>
    <r>
      <rPr>
        <b/>
        <i/>
        <vertAlign val="subscript"/>
        <sz val="10"/>
        <color rgb="FF0070C0"/>
        <rFont val="Arial"/>
        <family val="2"/>
      </rPr>
      <t>allowable</t>
    </r>
  </si>
  <si>
    <t>Safty Factor</t>
  </si>
  <si>
    <t xml:space="preserve">                            : Non-uniform shear stress</t>
  </si>
  <si>
    <t xml:space="preserve">             : Non-uniform shear stress</t>
  </si>
  <si>
    <t xml:space="preserve">             : Uniform shear stress</t>
  </si>
  <si>
    <t xml:space="preserve">            : Uniform shear stress </t>
  </si>
  <si>
    <t xml:space="preserve">            : Non-uniform shear stress</t>
  </si>
  <si>
    <t xml:space="preserve">            : Uniform shear stress</t>
  </si>
  <si>
    <r>
      <rPr>
        <b/>
        <sz val="20"/>
        <color rgb="FF0070C0"/>
        <rFont val="Times New Roman"/>
        <family val="1"/>
      </rPr>
      <t xml:space="preserve">COMBINED STRESS </t>
    </r>
    <r>
      <rPr>
        <sz val="11"/>
        <color rgb="FF0070C0"/>
        <rFont val="Times New Roman"/>
        <family val="1"/>
      </rPr>
      <t xml:space="preserve">
</t>
    </r>
    <r>
      <rPr>
        <b/>
        <i/>
        <sz val="11"/>
        <color rgb="FF0070C0"/>
        <rFont val="Times New Roman"/>
        <family val="1"/>
      </rPr>
      <t>(BASED ON ASME BPVC SECTION VIII, DIV 2)</t>
    </r>
  </si>
  <si>
    <t>Select Model</t>
  </si>
  <si>
    <t>Trunnion</t>
  </si>
  <si>
    <t>Saddle Zick</t>
  </si>
  <si>
    <t>Saddle Roak</t>
  </si>
  <si>
    <t>SSb_Qb_Primary</t>
  </si>
  <si>
    <t>SLb_Qb_Primary</t>
  </si>
  <si>
    <t>SCb_Qb_Primary</t>
  </si>
  <si>
    <t>Qb-Primary</t>
  </si>
  <si>
    <t>SLm_PL</t>
  </si>
  <si>
    <t>PL</t>
  </si>
  <si>
    <t>SCm_PL</t>
  </si>
  <si>
    <t>SSm_PL</t>
  </si>
  <si>
    <t>QL</t>
  </si>
  <si>
    <t>SCb_QL</t>
  </si>
  <si>
    <t>SLb_QL</t>
  </si>
  <si>
    <t>SLm_QL</t>
  </si>
  <si>
    <t>SSb_QL</t>
  </si>
  <si>
    <t>SSm_QL</t>
  </si>
  <si>
    <t>SCm_QL</t>
  </si>
  <si>
    <t>Saddle Roark</t>
  </si>
  <si>
    <t>Max. Circumferential bending Stress (Mpa)</t>
  </si>
  <si>
    <t>A1</t>
  </si>
  <si>
    <t>Phi</t>
  </si>
  <si>
    <t>Beta</t>
  </si>
  <si>
    <t>sinb/b</t>
  </si>
  <si>
    <t>A2</t>
  </si>
  <si>
    <t>A3</t>
  </si>
  <si>
    <t>A4</t>
  </si>
  <si>
    <t>A5</t>
  </si>
  <si>
    <t>A6</t>
  </si>
  <si>
    <t>M</t>
  </si>
  <si>
    <t>Moment at A (KN.m)</t>
  </si>
  <si>
    <t>Force at A  (KN)</t>
  </si>
  <si>
    <t>Moment at A  (KN.m)</t>
  </si>
  <si>
    <t>Force at A (KN)</t>
  </si>
  <si>
    <t>Angle at A_Rad</t>
  </si>
  <si>
    <t>max Mem Stress</t>
  </si>
  <si>
    <t>max Bend Stress</t>
  </si>
  <si>
    <t>teta</t>
  </si>
  <si>
    <t>beta rad</t>
  </si>
  <si>
    <t>M , Phi=20 deg</t>
  </si>
  <si>
    <t>M , Phi=120 deg</t>
  </si>
  <si>
    <t>stress</t>
  </si>
  <si>
    <t>Moment</t>
  </si>
  <si>
    <t>SUS(Mpa)</t>
  </si>
  <si>
    <t>EXP(Mpa)</t>
  </si>
  <si>
    <t>Phi Rad</t>
  </si>
  <si>
    <t>Phi Deg</t>
  </si>
  <si>
    <t>N(N)</t>
  </si>
  <si>
    <r>
      <t xml:space="preserve">Angle at point </t>
    </r>
    <r>
      <rPr>
        <b/>
        <i/>
        <sz val="10"/>
        <color theme="1"/>
        <rFont val="Arial"/>
        <family val="2"/>
      </rPr>
      <t>B</t>
    </r>
    <r>
      <rPr>
        <i/>
        <sz val="10"/>
        <color theme="1"/>
        <rFont val="Arial"/>
        <family val="2"/>
      </rPr>
      <t xml:space="preserve"> (</t>
    </r>
    <r>
      <rPr>
        <b/>
        <i/>
        <sz val="11"/>
        <color theme="1"/>
        <rFont val="Calibri"/>
        <family val="2"/>
      </rPr>
      <t>ϕ</t>
    </r>
    <r>
      <rPr>
        <i/>
        <sz val="10"/>
        <color theme="1"/>
        <rFont val="Arial"/>
        <family val="2"/>
      </rPr>
      <t>,deg)</t>
    </r>
  </si>
  <si>
    <t>Tnet_Bare_Roark</t>
  </si>
  <si>
    <t>angle at B (Rad)</t>
  </si>
  <si>
    <t>M at B (sus)</t>
  </si>
  <si>
    <t>F at B (SUS)</t>
  </si>
  <si>
    <t>Ben Stress</t>
  </si>
  <si>
    <t>beff (mm)</t>
  </si>
  <si>
    <t>Z</t>
  </si>
  <si>
    <t>Mem Stress</t>
  </si>
  <si>
    <t>MPa</t>
  </si>
  <si>
    <t>Max. Bend Stress at B (Mpa)</t>
  </si>
  <si>
    <t>Max. Mem Stress at B(Mpa)</t>
  </si>
  <si>
    <t>Max. Circumferential Bending Stress(Mpa)</t>
  </si>
  <si>
    <t>Max Bending Stress</t>
  </si>
  <si>
    <t>Bending Cir. Stress
Mpa</t>
  </si>
  <si>
    <t>Membrane Cir. Stress
Mpa</t>
  </si>
  <si>
    <t>Max Membrane Stress</t>
  </si>
  <si>
    <t>Bare Pipe, Roark's Model  (Circumferential Moment Distribution)</t>
  </si>
  <si>
    <t>Max. Circumferential Membrane Stress(Mpa)</t>
  </si>
  <si>
    <r>
      <t xml:space="preserve">BARE PIPE
 </t>
    </r>
    <r>
      <rPr>
        <b/>
        <sz val="10"/>
        <color theme="1"/>
        <rFont val="Times New Roman"/>
        <family val="1"/>
      </rPr>
      <t xml:space="preserve">COMBINED METHOD </t>
    </r>
  </si>
  <si>
    <r>
      <t xml:space="preserve">BARE PIPE
</t>
    </r>
    <r>
      <rPr>
        <b/>
        <sz val="10"/>
        <color theme="1"/>
        <rFont val="Times New Roman"/>
        <family val="1"/>
      </rPr>
      <t>ROARK's MODEL</t>
    </r>
  </si>
  <si>
    <t>SC_bend</t>
  </si>
  <si>
    <t>SC_mem</t>
  </si>
  <si>
    <t>SUS (Mpa)</t>
  </si>
  <si>
    <t>EXP (Mpa)</t>
  </si>
  <si>
    <t>Max Stress</t>
  </si>
  <si>
    <t>Bare Pipe, Roark's Model  (Bending and Membrane Circumferential Stresses Distribution)</t>
  </si>
  <si>
    <t>Bare Pipe (Roark's Model)</t>
  </si>
  <si>
    <t>Bare Pipe (Combined Method)</t>
  </si>
  <si>
    <t>Bare Pipe (Combined Model)</t>
  </si>
  <si>
    <t>Moment at B (N.m)</t>
  </si>
  <si>
    <r>
      <t>Circumferential Moment</t>
    </r>
    <r>
      <rPr>
        <i/>
        <sz val="9"/>
        <color theme="1"/>
        <rFont val="Arial"/>
        <family val="2"/>
      </rPr>
      <t>at B(</t>
    </r>
    <r>
      <rPr>
        <i/>
        <sz val="8"/>
        <color theme="1"/>
        <rFont val="Arial"/>
        <family val="2"/>
      </rPr>
      <t>N.m)</t>
    </r>
  </si>
  <si>
    <t>Saddle Zick's Model  (Local Circumferential Bending Stress Distribution)</t>
  </si>
  <si>
    <r>
      <rPr>
        <i/>
        <vertAlign val="subscript"/>
        <sz val="10"/>
        <color theme="1"/>
        <rFont val="Arial"/>
        <family val="2"/>
      </rPr>
      <t xml:space="preserve"> </t>
    </r>
    <r>
      <rPr>
        <i/>
        <sz val="10"/>
        <color theme="1"/>
        <rFont val="Arial"/>
        <family val="2"/>
      </rPr>
      <t xml:space="preserve">                                                (MPa)</t>
    </r>
  </si>
  <si>
    <t xml:space="preserve">                                                               (MPa)</t>
  </si>
  <si>
    <t xml:space="preserve">                                                                (MPa)</t>
  </si>
  <si>
    <t>Total Longitudinal Stress</t>
  </si>
  <si>
    <t>Total Circumferential Stress</t>
  </si>
  <si>
    <t>Total Shear Stress</t>
  </si>
  <si>
    <t>S1</t>
  </si>
  <si>
    <t>S2</t>
  </si>
  <si>
    <t>Von Mises Equivalent</t>
  </si>
  <si>
    <r>
      <t xml:space="preserve">2. The formula and methods which are used in this calculation sheet are based on those mentioned in the technical papers on the </t>
    </r>
    <r>
      <rPr>
        <i/>
        <sz val="12"/>
        <color rgb="FF0000CC"/>
        <rFont val="Times New Roman"/>
        <family val="1"/>
      </rPr>
      <t>WWW.CALCSTRESS.COM</t>
    </r>
    <r>
      <rPr>
        <sz val="12"/>
        <color theme="1"/>
        <rFont val="Times New Roman"/>
        <family val="1"/>
      </rPr>
      <t xml:space="preserve"> website. User must be aware of the applied method's restrictions.</t>
    </r>
  </si>
  <si>
    <t xml:space="preserve"> Notes</t>
  </si>
  <si>
    <t xml:space="preserve">5. Users are highly appreciated if they let CALCSTRESS know any problems or mistakes in the this sheet. </t>
  </si>
  <si>
    <t>10. The primary circumferential local stress in Roark's model which is mainly based on the circumferential bending moment has been considered as membrane stress in the combined stresses.</t>
  </si>
  <si>
    <r>
      <t xml:space="preserve">Circumferential membrane Stress at </t>
    </r>
    <r>
      <rPr>
        <b/>
        <i/>
        <sz val="8"/>
        <color theme="1"/>
        <rFont val="Arial"/>
        <family val="2"/>
      </rPr>
      <t>B</t>
    </r>
    <r>
      <rPr>
        <i/>
        <sz val="8"/>
        <color theme="1"/>
        <rFont val="Arial"/>
        <family val="2"/>
      </rPr>
      <t>(Mpa)- Pad is considered</t>
    </r>
  </si>
  <si>
    <r>
      <t xml:space="preserve">Circumferential Bending Stress at </t>
    </r>
    <r>
      <rPr>
        <b/>
        <i/>
        <sz val="8"/>
        <color theme="1"/>
        <rFont val="Arial"/>
        <family val="2"/>
      </rPr>
      <t>B</t>
    </r>
    <r>
      <rPr>
        <i/>
        <sz val="8"/>
        <color theme="1"/>
        <rFont val="Arial"/>
        <family val="2"/>
      </rPr>
      <t>(Mpa)-Pad is considered</t>
    </r>
  </si>
  <si>
    <t>Max. Circumferential mem. Stress (Mpa)</t>
  </si>
  <si>
    <r>
      <t>S</t>
    </r>
    <r>
      <rPr>
        <i/>
        <vertAlign val="subscript"/>
        <sz val="10"/>
        <color theme="1"/>
        <rFont val="Arial"/>
        <family val="2"/>
      </rPr>
      <t xml:space="preserve">L </t>
    </r>
    <r>
      <rPr>
        <i/>
        <sz val="10"/>
        <color theme="1"/>
        <rFont val="Arial"/>
        <family val="2"/>
      </rPr>
      <t xml:space="preserve">                                (MPa)</t>
    </r>
  </si>
  <si>
    <r>
      <t>S</t>
    </r>
    <r>
      <rPr>
        <i/>
        <vertAlign val="subscript"/>
        <sz val="10"/>
        <color theme="1"/>
        <rFont val="Arial"/>
        <family val="2"/>
      </rPr>
      <t xml:space="preserve">hoop   </t>
    </r>
    <r>
      <rPr>
        <i/>
        <sz val="10"/>
        <color theme="1"/>
        <rFont val="Arial"/>
        <family val="2"/>
      </rPr>
      <t xml:space="preserve">                           (MPa)</t>
    </r>
  </si>
  <si>
    <r>
      <t>S</t>
    </r>
    <r>
      <rPr>
        <i/>
        <vertAlign val="subscript"/>
        <sz val="10"/>
        <color theme="1"/>
        <rFont val="Arial"/>
        <family val="2"/>
      </rPr>
      <t xml:space="preserve">L-Pm </t>
    </r>
    <r>
      <rPr>
        <i/>
        <sz val="10"/>
        <color theme="1"/>
        <rFont val="Arial"/>
        <family val="2"/>
      </rPr>
      <t xml:space="preserve">                            (MPa)</t>
    </r>
  </si>
  <si>
    <r>
      <t>S</t>
    </r>
    <r>
      <rPr>
        <i/>
        <vertAlign val="subscript"/>
        <sz val="10"/>
        <color theme="1"/>
        <rFont val="Arial"/>
        <family val="2"/>
      </rPr>
      <t xml:space="preserve">C-Pm </t>
    </r>
    <r>
      <rPr>
        <i/>
        <sz val="10"/>
        <color theme="1"/>
        <rFont val="Arial"/>
        <family val="2"/>
      </rPr>
      <t xml:space="preserve">                           (MPa)</t>
    </r>
  </si>
  <si>
    <r>
      <t>S</t>
    </r>
    <r>
      <rPr>
        <i/>
        <vertAlign val="subscript"/>
        <sz val="10"/>
        <color theme="1"/>
        <rFont val="Arial"/>
        <family val="2"/>
      </rPr>
      <t>Cb-Qb_Primary</t>
    </r>
    <r>
      <rPr>
        <i/>
        <sz val="10"/>
        <color theme="1"/>
        <rFont val="Arial"/>
        <family val="2"/>
      </rPr>
      <t xml:space="preserve">     (MPa)</t>
    </r>
  </si>
  <si>
    <t xml:space="preserve">                        (MPa)</t>
  </si>
  <si>
    <t xml:space="preserve">                         (MPa)</t>
  </si>
  <si>
    <r>
      <t xml:space="preserve">Not Designed for Engineering Practice
</t>
    </r>
    <r>
      <rPr>
        <b/>
        <sz val="11"/>
        <color rgb="FFFF0000"/>
        <rFont val="Times New Roman"/>
        <family val="1"/>
      </rPr>
      <t>Please see Notes</t>
    </r>
  </si>
  <si>
    <r>
      <t>S</t>
    </r>
    <r>
      <rPr>
        <i/>
        <vertAlign val="subscript"/>
        <sz val="10"/>
        <color theme="1"/>
        <rFont val="Arial"/>
        <family val="2"/>
      </rPr>
      <t>Lb-Qb_Primary</t>
    </r>
    <r>
      <rPr>
        <i/>
        <sz val="10"/>
        <color theme="1"/>
        <rFont val="Arial"/>
        <family val="2"/>
      </rPr>
      <t xml:space="preserve">     (MPa)</t>
    </r>
  </si>
  <si>
    <r>
      <t>S</t>
    </r>
    <r>
      <rPr>
        <i/>
        <vertAlign val="subscript"/>
        <sz val="10"/>
        <color theme="1"/>
        <rFont val="Arial"/>
        <family val="2"/>
      </rPr>
      <t>Lm-PL</t>
    </r>
    <r>
      <rPr>
        <i/>
        <sz val="10"/>
        <color theme="1"/>
        <rFont val="Arial"/>
        <family val="2"/>
      </rPr>
      <t xml:space="preserve">                (MPa)</t>
    </r>
  </si>
  <si>
    <r>
      <t>S</t>
    </r>
    <r>
      <rPr>
        <i/>
        <vertAlign val="subscript"/>
        <sz val="10"/>
        <color theme="1"/>
        <rFont val="Arial"/>
        <family val="2"/>
      </rPr>
      <t xml:space="preserve">Cm-PL </t>
    </r>
    <r>
      <rPr>
        <i/>
        <sz val="10"/>
        <color theme="1"/>
        <rFont val="Arial"/>
        <family val="2"/>
      </rPr>
      <t xml:space="preserve">               (MPa)</t>
    </r>
  </si>
  <si>
    <t>1. This data calculation sheet is protected by intellectual property law including copyright. You as a user are not allowed to copy, republish and distribute this calculation sheet without permission.</t>
  </si>
  <si>
    <t>4. This sheet content  may change without any prior notice.</t>
  </si>
  <si>
    <t>8. In case of any occasional loads such as wind, the method mentioned in ASME BPVC SEC VIII Div 2 should be referred for combined stress calculations.</t>
  </si>
  <si>
    <t>9. Peak stress criteria which cover fatigue failure have not been considered in this calculation sheet. For designing a piping system, as a real engineering practice, it should be considered as mentioned in ASME BPVC SEC VIII Div 2.</t>
  </si>
  <si>
    <t>6. This sheet excludes trunnion or structural attachment design such as weld calculations. The local stresses which are developed in a pipe shell are calculated only. Trunnion or any attachment must be designed separately.</t>
  </si>
  <si>
    <t>11. The input values for this sheet are not checked. User’s knowledge about the proper valid range of inputs and the methods limitations is important.</t>
  </si>
  <si>
    <t>12. All local stress calculations are based on effective thickness in which pad thickness is considered. So in calculation of stress at a place where no pad is used, pad thickness must be considered zero.</t>
  </si>
  <si>
    <t>Issue Date: 4-July-15</t>
  </si>
  <si>
    <r>
      <t>S</t>
    </r>
    <r>
      <rPr>
        <i/>
        <vertAlign val="subscript"/>
        <sz val="10"/>
        <color theme="1"/>
        <rFont val="Arial"/>
        <family val="2"/>
      </rPr>
      <t xml:space="preserve">cm-QL </t>
    </r>
    <r>
      <rPr>
        <i/>
        <sz val="10"/>
        <color theme="1"/>
        <rFont val="Arial"/>
        <family val="2"/>
      </rPr>
      <t xml:space="preserve">                                      (MPa)</t>
    </r>
  </si>
  <si>
    <r>
      <t>S</t>
    </r>
    <r>
      <rPr>
        <i/>
        <vertAlign val="subscript"/>
        <sz val="10"/>
        <color theme="1"/>
        <rFont val="Arial"/>
        <family val="2"/>
      </rPr>
      <t xml:space="preserve">Lm-QL </t>
    </r>
    <r>
      <rPr>
        <i/>
        <sz val="10"/>
        <color theme="1"/>
        <rFont val="Arial"/>
        <family val="2"/>
      </rPr>
      <t xml:space="preserve">                                      (MPa)</t>
    </r>
  </si>
  <si>
    <r>
      <t>S</t>
    </r>
    <r>
      <rPr>
        <i/>
        <vertAlign val="subscript"/>
        <sz val="10"/>
        <color theme="1"/>
        <rFont val="Arial"/>
        <family val="2"/>
      </rPr>
      <t xml:space="preserve">Cb-QL </t>
    </r>
    <r>
      <rPr>
        <i/>
        <sz val="10"/>
        <color theme="1"/>
        <rFont val="Arial"/>
        <family val="2"/>
      </rPr>
      <t xml:space="preserve">                                      (MPa)</t>
    </r>
  </si>
  <si>
    <r>
      <t>S</t>
    </r>
    <r>
      <rPr>
        <i/>
        <vertAlign val="subscript"/>
        <sz val="10"/>
        <color theme="1"/>
        <rFont val="Arial"/>
        <family val="2"/>
      </rPr>
      <t xml:space="preserve">Lb-QL </t>
    </r>
    <r>
      <rPr>
        <i/>
        <sz val="10"/>
        <color theme="1"/>
        <rFont val="Arial"/>
        <family val="2"/>
      </rPr>
      <t xml:space="preserve">                                      (MPa)</t>
    </r>
  </si>
  <si>
    <r>
      <t>S</t>
    </r>
    <r>
      <rPr>
        <i/>
        <vertAlign val="subscript"/>
        <sz val="10"/>
        <color theme="1"/>
        <rFont val="Arial"/>
        <family val="2"/>
      </rPr>
      <t xml:space="preserve">L-QL </t>
    </r>
    <r>
      <rPr>
        <i/>
        <sz val="10"/>
        <color theme="1"/>
        <rFont val="Arial"/>
        <family val="2"/>
      </rPr>
      <t xml:space="preserve">                                        (MPa)</t>
    </r>
  </si>
  <si>
    <r>
      <t>S</t>
    </r>
    <r>
      <rPr>
        <i/>
        <vertAlign val="subscript"/>
        <sz val="10"/>
        <color theme="1"/>
        <rFont val="Arial"/>
        <family val="2"/>
      </rPr>
      <t xml:space="preserve">C-QL </t>
    </r>
    <r>
      <rPr>
        <i/>
        <sz val="10"/>
        <color theme="1"/>
        <rFont val="Arial"/>
        <family val="2"/>
      </rPr>
      <t xml:space="preserve">                                        (MPa)</t>
    </r>
  </si>
  <si>
    <r>
      <t>S</t>
    </r>
    <r>
      <rPr>
        <i/>
        <vertAlign val="subscript"/>
        <sz val="10"/>
        <color theme="1"/>
        <rFont val="Arial"/>
        <family val="2"/>
      </rPr>
      <t>Cm-QG</t>
    </r>
    <r>
      <rPr>
        <i/>
        <sz val="10"/>
        <color theme="1"/>
        <rFont val="Arial"/>
        <family val="2"/>
      </rPr>
      <t xml:space="preserve">                                                     (MPa)</t>
    </r>
  </si>
  <si>
    <r>
      <t>S</t>
    </r>
    <r>
      <rPr>
        <i/>
        <vertAlign val="subscript"/>
        <sz val="10"/>
        <color theme="1"/>
        <rFont val="Arial"/>
        <family val="2"/>
      </rPr>
      <t>Lm-QG</t>
    </r>
    <r>
      <rPr>
        <i/>
        <sz val="10"/>
        <color theme="1"/>
        <rFont val="Arial"/>
        <family val="2"/>
      </rPr>
      <t xml:space="preserve">                                                      (MPa)</t>
    </r>
  </si>
  <si>
    <r>
      <t>S</t>
    </r>
    <r>
      <rPr>
        <i/>
        <vertAlign val="subscript"/>
        <sz val="10"/>
        <color theme="1"/>
        <rFont val="Arial"/>
        <family val="2"/>
      </rPr>
      <t>Cb-QG</t>
    </r>
    <r>
      <rPr>
        <i/>
        <sz val="10"/>
        <color theme="1"/>
        <rFont val="Arial"/>
        <family val="2"/>
      </rPr>
      <t xml:space="preserve">                                                      (MPa)</t>
    </r>
  </si>
  <si>
    <r>
      <t>S</t>
    </r>
    <r>
      <rPr>
        <i/>
        <vertAlign val="subscript"/>
        <sz val="10"/>
        <color theme="1"/>
        <rFont val="Arial"/>
        <family val="2"/>
      </rPr>
      <t>Lb-QG</t>
    </r>
    <r>
      <rPr>
        <i/>
        <sz val="10"/>
        <color theme="1"/>
        <rFont val="Arial"/>
        <family val="2"/>
      </rPr>
      <t xml:space="preserve">                                                      (MPa)</t>
    </r>
  </si>
  <si>
    <r>
      <t>S</t>
    </r>
    <r>
      <rPr>
        <i/>
        <vertAlign val="subscript"/>
        <sz val="10"/>
        <color theme="1"/>
        <rFont val="Arial"/>
        <family val="2"/>
      </rPr>
      <t>L-QG</t>
    </r>
    <r>
      <rPr>
        <i/>
        <sz val="10"/>
        <color theme="1"/>
        <rFont val="Arial"/>
        <family val="2"/>
      </rPr>
      <t xml:space="preserve">                                                       (MPa)</t>
    </r>
  </si>
  <si>
    <r>
      <t>S</t>
    </r>
    <r>
      <rPr>
        <i/>
        <vertAlign val="subscript"/>
        <sz val="10"/>
        <color theme="1"/>
        <rFont val="Arial"/>
        <family val="2"/>
      </rPr>
      <t>C-QG</t>
    </r>
    <r>
      <rPr>
        <i/>
        <sz val="10"/>
        <color theme="1"/>
        <rFont val="Arial"/>
        <family val="2"/>
      </rPr>
      <t xml:space="preserve">                                                       (MPa)</t>
    </r>
  </si>
  <si>
    <t>7.  Longitudinal primary stresses resulting from sustained loads and general secondary stresses may be obtained from finite element software such as CAESAR II and added here. Usually in comparison with support loads they are insignificant and can be ignored. Based on engineer’s judgments, they may be applied.</t>
  </si>
  <si>
    <r>
      <t xml:space="preserve">3. The owners of CALCSTRESS.COM cannot guarantee the completeness and accuracy of any information including formula and methods applied and used in this datasheet. Moreover some sheets and cells are unlocked and the formula can change easily. It has been designed for training only. It may not be complete enough for a professional service. So, </t>
    </r>
    <r>
      <rPr>
        <b/>
        <sz val="12"/>
        <color rgb="FFFF0000"/>
        <rFont val="Times New Roman"/>
        <family val="1"/>
      </rPr>
      <t>it must not be used for any professional services. CALCSTRESS IS NOT RESPONSIBLE FOR ANY DAMAGES, OMISSIONS AND ERRORS ARISING FROM USING THIS CALCULATION SHEET. This sheet content may change without any prior notice.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</si>
</sst>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quot;$&quot;#,##0.00"/>
  </numFmts>
  <fonts count="48" x14ac:knownFonts="1">
    <font>
      <sz val="11"/>
      <color theme="1"/>
      <name val="Calibri"/>
      <family val="2"/>
      <scheme val="minor"/>
    </font>
    <font>
      <sz val="11"/>
      <color rgb="FFFF0000"/>
      <name val="Calibri"/>
      <family val="2"/>
      <scheme val="minor"/>
    </font>
    <font>
      <b/>
      <sz val="12"/>
      <color theme="1"/>
      <name val="Times New Roman"/>
      <family val="1"/>
    </font>
    <font>
      <b/>
      <sz val="14"/>
      <color theme="1"/>
      <name val="Times New Roman"/>
      <family val="1"/>
    </font>
    <font>
      <i/>
      <sz val="10"/>
      <color theme="1"/>
      <name val="Arial"/>
      <family val="2"/>
    </font>
    <font>
      <b/>
      <i/>
      <sz val="10"/>
      <color theme="1"/>
      <name val="Arial"/>
      <family val="2"/>
    </font>
    <font>
      <b/>
      <i/>
      <sz val="10"/>
      <color rgb="FF0070C0"/>
      <name val="Arial"/>
      <family val="2"/>
    </font>
    <font>
      <i/>
      <vertAlign val="subscript"/>
      <sz val="10"/>
      <color theme="1"/>
      <name val="Arial"/>
      <family val="2"/>
    </font>
    <font>
      <b/>
      <i/>
      <vertAlign val="subscript"/>
      <sz val="10"/>
      <color theme="1"/>
      <name val="Arial"/>
      <family val="2"/>
    </font>
    <font>
      <sz val="9"/>
      <color indexed="81"/>
      <name val="Tahoma"/>
      <family val="2"/>
    </font>
    <font>
      <b/>
      <sz val="9"/>
      <color indexed="81"/>
      <name val="Tahoma"/>
      <family val="2"/>
    </font>
    <font>
      <sz val="10"/>
      <color theme="1"/>
      <name val="Calibri"/>
      <family val="2"/>
    </font>
    <font>
      <b/>
      <sz val="10"/>
      <color theme="1"/>
      <name val="Calibri"/>
      <family val="2"/>
    </font>
    <font>
      <sz val="11"/>
      <color rgb="FF0000FF"/>
      <name val="Calibri"/>
      <family val="2"/>
      <scheme val="minor"/>
    </font>
    <font>
      <vertAlign val="subscript"/>
      <sz val="11"/>
      <color theme="1"/>
      <name val="Calibri"/>
      <family val="2"/>
      <scheme val="minor"/>
    </font>
    <font>
      <sz val="11"/>
      <color theme="5" tint="-0.249977111117893"/>
      <name val="Calibri"/>
      <family val="2"/>
      <scheme val="minor"/>
    </font>
    <font>
      <i/>
      <sz val="11"/>
      <color theme="1"/>
      <name val="Calibri"/>
      <family val="2"/>
      <scheme val="minor"/>
    </font>
    <font>
      <sz val="8"/>
      <color rgb="FF000000"/>
      <name val="Tahoma"/>
      <family val="2"/>
    </font>
    <font>
      <b/>
      <i/>
      <sz val="11"/>
      <color theme="1"/>
      <name val="Calibri"/>
      <family val="2"/>
      <scheme val="minor"/>
    </font>
    <font>
      <b/>
      <i/>
      <sz val="20"/>
      <color rgb="FF0070C0"/>
      <name val="Times New Roman"/>
      <family val="1"/>
    </font>
    <font>
      <sz val="11"/>
      <color rgb="FF0070C0"/>
      <name val="Times New Roman"/>
      <family val="1"/>
    </font>
    <font>
      <b/>
      <i/>
      <sz val="11"/>
      <color theme="1"/>
      <name val="Times New Roman"/>
      <family val="1"/>
    </font>
    <font>
      <b/>
      <i/>
      <sz val="11"/>
      <color theme="1"/>
      <name val="Calibri"/>
      <family val="2"/>
    </font>
    <font>
      <b/>
      <i/>
      <sz val="11"/>
      <color theme="1"/>
      <name val="Arial"/>
      <family val="2"/>
    </font>
    <font>
      <b/>
      <sz val="11"/>
      <color theme="1"/>
      <name val="Calibri"/>
      <family val="2"/>
    </font>
    <font>
      <i/>
      <sz val="9"/>
      <color theme="1"/>
      <name val="Arial"/>
      <family val="2"/>
    </font>
    <font>
      <i/>
      <sz val="8"/>
      <color theme="1"/>
      <name val="Arial"/>
      <family val="2"/>
    </font>
    <font>
      <b/>
      <i/>
      <sz val="12"/>
      <color theme="1"/>
      <name val="Calibri"/>
      <family val="2"/>
      <scheme val="minor"/>
    </font>
    <font>
      <sz val="11"/>
      <color rgb="FF002060"/>
      <name val="Times New Roman"/>
      <family val="1"/>
    </font>
    <font>
      <vertAlign val="subscript"/>
      <sz val="11"/>
      <color rgb="FF002060"/>
      <name val="Times New Roman"/>
      <family val="1"/>
    </font>
    <font>
      <b/>
      <i/>
      <sz val="10"/>
      <color rgb="FF002060"/>
      <name val="Times New Roman"/>
      <family val="1"/>
    </font>
    <font>
      <b/>
      <i/>
      <vertAlign val="subscript"/>
      <sz val="10"/>
      <color rgb="FF0070C0"/>
      <name val="Arial"/>
      <family val="2"/>
    </font>
    <font>
      <b/>
      <i/>
      <sz val="11"/>
      <color rgb="FF0070C0"/>
      <name val="Arial"/>
      <family val="2"/>
    </font>
    <font>
      <sz val="12"/>
      <color theme="1"/>
      <name val="Calibri"/>
      <family val="2"/>
      <scheme val="minor"/>
    </font>
    <font>
      <b/>
      <sz val="20"/>
      <color rgb="FF0070C0"/>
      <name val="Times New Roman"/>
      <family val="1"/>
    </font>
    <font>
      <b/>
      <i/>
      <sz val="11"/>
      <color rgb="FF0070C0"/>
      <name val="Times New Roman"/>
      <family val="1"/>
    </font>
    <font>
      <sz val="10"/>
      <color theme="1"/>
      <name val="Calibri"/>
      <family val="2"/>
      <scheme val="minor"/>
    </font>
    <font>
      <b/>
      <i/>
      <sz val="8"/>
      <color theme="1"/>
      <name val="Arial"/>
      <family val="2"/>
    </font>
    <font>
      <b/>
      <sz val="10"/>
      <color theme="1"/>
      <name val="Times New Roman"/>
      <family val="1"/>
    </font>
    <font>
      <sz val="12"/>
      <color theme="1"/>
      <name val="Times New Roman"/>
      <family val="1"/>
    </font>
    <font>
      <i/>
      <sz val="12"/>
      <color rgb="FF0000CC"/>
      <name val="Times New Roman"/>
      <family val="1"/>
    </font>
    <font>
      <b/>
      <i/>
      <sz val="16"/>
      <color rgb="FF0000CC"/>
      <name val="Times New Roman"/>
      <family val="1"/>
    </font>
    <font>
      <b/>
      <i/>
      <sz val="20"/>
      <color rgb="FF0000CC"/>
      <name val="Times New Roman"/>
      <family val="1"/>
    </font>
    <font>
      <sz val="11"/>
      <color rgb="FF0000CC"/>
      <name val="Times New Roman"/>
      <family val="1"/>
    </font>
    <font>
      <b/>
      <sz val="18"/>
      <color rgb="FFFF0000"/>
      <name val="Times New Roman"/>
      <family val="1"/>
    </font>
    <font>
      <b/>
      <sz val="11"/>
      <color rgb="FFFF0000"/>
      <name val="Times New Roman"/>
      <family val="1"/>
    </font>
    <font>
      <b/>
      <i/>
      <sz val="26"/>
      <color theme="4" tint="-0.499984740745262"/>
      <name val="Times New Roman"/>
      <family val="1"/>
    </font>
    <font>
      <b/>
      <sz val="12"/>
      <color rgb="FFFF0000"/>
      <name val="Times New Roman"/>
      <family val="1"/>
    </font>
  </fonts>
  <fills count="15">
    <fill>
      <patternFill patternType="none"/>
    </fill>
    <fill>
      <patternFill patternType="gray125"/>
    </fill>
    <fill>
      <patternFill patternType="solid">
        <fgColor theme="4" tint="0.39997558519241921"/>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4" tint="0.59999389629810485"/>
        <bgColor indexed="64"/>
      </patternFill>
    </fill>
  </fills>
  <borders count="7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1">
    <xf numFmtId="0" fontId="0" fillId="0" borderId="0"/>
  </cellStyleXfs>
  <cellXfs count="563">
    <xf numFmtId="0" fontId="0" fillId="0" borderId="0" xfId="0"/>
    <xf numFmtId="0" fontId="0" fillId="0" borderId="0" xfId="0" applyBorder="1"/>
    <xf numFmtId="0" fontId="0" fillId="0" borderId="35" xfId="0" applyBorder="1"/>
    <xf numFmtId="0" fontId="0" fillId="0" borderId="38" xfId="0" applyBorder="1"/>
    <xf numFmtId="0" fontId="13" fillId="0" borderId="9" xfId="0" applyFont="1" applyBorder="1" applyAlignment="1">
      <alignment horizontal="center"/>
    </xf>
    <xf numFmtId="2" fontId="1" fillId="3" borderId="9" xfId="0" applyNumberFormat="1" applyFont="1" applyFill="1" applyBorder="1" applyAlignment="1">
      <alignment horizontal="center"/>
    </xf>
    <xf numFmtId="0" fontId="0" fillId="0" borderId="36" xfId="0" applyBorder="1"/>
    <xf numFmtId="0" fontId="0" fillId="0" borderId="37" xfId="0" applyBorder="1"/>
    <xf numFmtId="2" fontId="1" fillId="3" borderId="28" xfId="0" applyNumberFormat="1" applyFont="1" applyFill="1" applyBorder="1" applyAlignment="1">
      <alignment horizontal="center"/>
    </xf>
    <xf numFmtId="0" fontId="0" fillId="0" borderId="36" xfId="0" applyFill="1" applyBorder="1"/>
    <xf numFmtId="0" fontId="0" fillId="0" borderId="35" xfId="0" applyFill="1" applyBorder="1"/>
    <xf numFmtId="2" fontId="15" fillId="4" borderId="38" xfId="0" applyNumberFormat="1" applyFont="1" applyFill="1" applyBorder="1" applyAlignment="1">
      <alignment horizontal="center"/>
    </xf>
    <xf numFmtId="2" fontId="15" fillId="4" borderId="42" xfId="0" applyNumberFormat="1" applyFont="1" applyFill="1" applyBorder="1" applyAlignment="1">
      <alignment horizontal="center"/>
    </xf>
    <xf numFmtId="0" fontId="0" fillId="0" borderId="4" xfId="0" applyBorder="1" applyAlignment="1">
      <alignment horizontal="center" vertical="center"/>
    </xf>
    <xf numFmtId="0" fontId="0" fillId="0" borderId="0" xfId="0" applyBorder="1" applyAlignment="1">
      <alignment horizontal="center" vertical="center"/>
    </xf>
    <xf numFmtId="0" fontId="18" fillId="0" borderId="0" xfId="0" applyFont="1"/>
    <xf numFmtId="0" fontId="18" fillId="0" borderId="37" xfId="0" applyFont="1" applyBorder="1" applyAlignment="1">
      <alignment horizontal="center" vertical="center"/>
    </xf>
    <xf numFmtId="0" fontId="18" fillId="0" borderId="28" xfId="0" applyFont="1" applyBorder="1" applyAlignment="1">
      <alignment horizontal="center" vertical="center"/>
    </xf>
    <xf numFmtId="0" fontId="18" fillId="0" borderId="38" xfId="0" applyFont="1" applyBorder="1" applyAlignment="1">
      <alignment horizontal="center" vertical="center"/>
    </xf>
    <xf numFmtId="0" fontId="18" fillId="0" borderId="49" xfId="0" applyFont="1"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18" fillId="0" borderId="0" xfId="0" applyFont="1" applyAlignment="1">
      <alignment horizontal="center" vertical="center"/>
    </xf>
    <xf numFmtId="0" fontId="0" fillId="0" borderId="0"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9" xfId="0" applyBorder="1" applyAlignment="1">
      <alignment horizontal="center"/>
    </xf>
    <xf numFmtId="0" fontId="18" fillId="0" borderId="28" xfId="0" applyFont="1" applyFill="1" applyBorder="1" applyAlignment="1">
      <alignment horizontal="center"/>
    </xf>
    <xf numFmtId="0" fontId="18" fillId="0" borderId="28" xfId="0" applyFont="1" applyBorder="1" applyAlignment="1">
      <alignment horizontal="center"/>
    </xf>
    <xf numFmtId="0" fontId="18" fillId="0" borderId="38" xfId="0" applyFont="1" applyBorder="1" applyAlignment="1">
      <alignment horizontal="center"/>
    </xf>
    <xf numFmtId="0" fontId="18" fillId="0" borderId="54" xfId="0" applyFont="1" applyBorder="1" applyAlignment="1">
      <alignment horizontal="center"/>
    </xf>
    <xf numFmtId="0" fontId="0" fillId="0" borderId="15" xfId="0" applyBorder="1" applyAlignment="1">
      <alignment horizontal="center"/>
    </xf>
    <xf numFmtId="0" fontId="18" fillId="0" borderId="0" xfId="0" applyFont="1" applyAlignment="1">
      <alignment horizontal="center"/>
    </xf>
    <xf numFmtId="0" fontId="18" fillId="0" borderId="4" xfId="0" applyFont="1" applyBorder="1" applyAlignment="1">
      <alignment horizontal="center"/>
    </xf>
    <xf numFmtId="0" fontId="18" fillId="0" borderId="0" xfId="0" applyFont="1" applyBorder="1" applyAlignment="1">
      <alignment horizontal="center"/>
    </xf>
    <xf numFmtId="0" fontId="18" fillId="0" borderId="5" xfId="0" applyFont="1" applyBorder="1" applyAlignment="1">
      <alignment horizontal="center"/>
    </xf>
    <xf numFmtId="0" fontId="0" fillId="0" borderId="4" xfId="0" applyBorder="1"/>
    <xf numFmtId="0" fontId="0" fillId="0" borderId="5" xfId="0" applyBorder="1"/>
    <xf numFmtId="0" fontId="18" fillId="0" borderId="15" xfId="0" applyFont="1" applyBorder="1" applyAlignment="1">
      <alignment horizontal="center"/>
    </xf>
    <xf numFmtId="0" fontId="0" fillId="0" borderId="15" xfId="0" applyBorder="1"/>
    <xf numFmtId="0" fontId="18" fillId="0" borderId="15" xfId="0" applyFont="1" applyBorder="1"/>
    <xf numFmtId="0" fontId="18" fillId="0" borderId="9" xfId="0" applyFont="1" applyBorder="1" applyAlignment="1">
      <alignment horizontal="center"/>
    </xf>
    <xf numFmtId="0" fontId="18" fillId="0" borderId="35" xfId="0" applyFont="1" applyBorder="1" applyAlignment="1">
      <alignment horizontal="center"/>
    </xf>
    <xf numFmtId="11" fontId="18" fillId="0" borderId="9" xfId="0" applyNumberFormat="1" applyFont="1" applyBorder="1" applyAlignment="1">
      <alignment horizontal="center"/>
    </xf>
    <xf numFmtId="11" fontId="0" fillId="0" borderId="0" xfId="0" applyNumberFormat="1" applyBorder="1"/>
    <xf numFmtId="11" fontId="18" fillId="0" borderId="35" xfId="0" applyNumberFormat="1" applyFont="1" applyBorder="1" applyAlignment="1">
      <alignment horizontal="center"/>
    </xf>
    <xf numFmtId="11" fontId="0" fillId="0" borderId="5" xfId="0" applyNumberFormat="1" applyBorder="1"/>
    <xf numFmtId="2" fontId="15" fillId="4" borderId="10" xfId="0" applyNumberFormat="1" applyFont="1" applyFill="1" applyBorder="1" applyAlignment="1">
      <alignment horizontal="center"/>
    </xf>
    <xf numFmtId="0" fontId="18" fillId="8" borderId="9" xfId="0" applyFont="1" applyFill="1" applyBorder="1" applyAlignment="1">
      <alignment horizontal="center" vertical="center" wrapText="1"/>
    </xf>
    <xf numFmtId="0" fontId="18" fillId="8" borderId="36" xfId="0" applyFont="1" applyFill="1" applyBorder="1" applyAlignment="1">
      <alignment horizontal="center" vertical="center" wrapText="1"/>
    </xf>
    <xf numFmtId="0" fontId="18" fillId="8" borderId="35" xfId="0" applyFont="1" applyFill="1" applyBorder="1" applyAlignment="1">
      <alignment horizontal="center" vertical="center" wrapText="1"/>
    </xf>
    <xf numFmtId="0" fontId="0" fillId="0" borderId="41" xfId="0" applyBorder="1" applyAlignment="1">
      <alignment horizontal="center" vertical="center"/>
    </xf>
    <xf numFmtId="0" fontId="0" fillId="0" borderId="34"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22" xfId="0" applyBorder="1" applyAlignment="1">
      <alignment horizontal="center" vertical="center" wrapText="1"/>
    </xf>
    <xf numFmtId="0" fontId="0" fillId="0" borderId="49" xfId="0" applyBorder="1" applyAlignment="1">
      <alignment horizontal="center" vertical="center" wrapText="1"/>
    </xf>
    <xf numFmtId="2" fontId="0" fillId="0" borderId="43" xfId="0" applyNumberFormat="1" applyFont="1" applyFill="1" applyBorder="1" applyAlignment="1">
      <alignment horizontal="center" vertical="center"/>
    </xf>
    <xf numFmtId="0" fontId="18" fillId="8" borderId="29" xfId="0" applyFont="1" applyFill="1" applyBorder="1" applyAlignment="1">
      <alignment horizontal="center" vertical="center" wrapText="1"/>
    </xf>
    <xf numFmtId="0" fontId="0" fillId="0" borderId="10" xfId="0" applyBorder="1" applyAlignment="1">
      <alignment horizontal="center"/>
    </xf>
    <xf numFmtId="2" fontId="0" fillId="0" borderId="30" xfId="0" applyNumberFormat="1" applyFont="1" applyFill="1" applyBorder="1" applyAlignment="1">
      <alignment horizontal="center" vertical="center"/>
    </xf>
    <xf numFmtId="2" fontId="0" fillId="0" borderId="45" xfId="0" applyNumberFormat="1" applyFont="1" applyFill="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xf>
    <xf numFmtId="0" fontId="0" fillId="11" borderId="15" xfId="0" applyFill="1" applyBorder="1"/>
    <xf numFmtId="0" fontId="18" fillId="8" borderId="37" xfId="0" applyFont="1" applyFill="1" applyBorder="1" applyAlignment="1">
      <alignment horizontal="center" vertical="center" wrapText="1"/>
    </xf>
    <xf numFmtId="0" fontId="18" fillId="8" borderId="23" xfId="0" applyFont="1" applyFill="1" applyBorder="1" applyAlignment="1">
      <alignment vertical="center"/>
    </xf>
    <xf numFmtId="0" fontId="18" fillId="8" borderId="24" xfId="0" applyFont="1" applyFill="1" applyBorder="1" applyAlignment="1">
      <alignment vertical="center"/>
    </xf>
    <xf numFmtId="0" fontId="18" fillId="8" borderId="52" xfId="0" applyFont="1" applyFill="1" applyBorder="1" applyAlignment="1">
      <alignment horizontal="center" vertical="center" wrapText="1"/>
    </xf>
    <xf numFmtId="0" fontId="18" fillId="8" borderId="59" xfId="0" applyFont="1" applyFill="1" applyBorder="1" applyAlignment="1">
      <alignment horizontal="center" vertical="center" wrapText="1"/>
    </xf>
    <xf numFmtId="0" fontId="18" fillId="8" borderId="62" xfId="0" applyFont="1" applyFill="1" applyBorder="1" applyAlignment="1">
      <alignment horizontal="center" vertical="center" wrapText="1"/>
    </xf>
    <xf numFmtId="0" fontId="4" fillId="6" borderId="42" xfId="0" applyFont="1" applyFill="1" applyBorder="1" applyAlignment="1"/>
    <xf numFmtId="2" fontId="15" fillId="4" borderId="45" xfId="0" applyNumberFormat="1" applyFont="1" applyFill="1" applyBorder="1" applyAlignment="1">
      <alignment horizontal="center"/>
    </xf>
    <xf numFmtId="2" fontId="15" fillId="4" borderId="59" xfId="0" applyNumberFormat="1" applyFont="1" applyFill="1" applyBorder="1" applyAlignment="1">
      <alignment horizontal="center"/>
    </xf>
    <xf numFmtId="2" fontId="15" fillId="4" borderId="35" xfId="0" applyNumberFormat="1" applyFont="1" applyFill="1" applyBorder="1" applyAlignment="1">
      <alignment horizontal="center"/>
    </xf>
    <xf numFmtId="0" fontId="0" fillId="0" borderId="9" xfId="0" applyBorder="1"/>
    <xf numFmtId="0" fontId="0" fillId="0" borderId="41" xfId="0" applyBorder="1"/>
    <xf numFmtId="0" fontId="0" fillId="0" borderId="34" xfId="0" applyBorder="1"/>
    <xf numFmtId="0" fontId="0" fillId="0" borderId="28" xfId="0" applyBorder="1"/>
    <xf numFmtId="0" fontId="0" fillId="0" borderId="9" xfId="0" applyFill="1" applyBorder="1"/>
    <xf numFmtId="0" fontId="0" fillId="0" borderId="10" xfId="0" applyBorder="1"/>
    <xf numFmtId="0" fontId="0" fillId="0" borderId="58" xfId="0" applyBorder="1"/>
    <xf numFmtId="0" fontId="0" fillId="0" borderId="59" xfId="0" applyBorder="1"/>
    <xf numFmtId="0" fontId="0" fillId="0" borderId="41" xfId="0" applyFill="1" applyBorder="1"/>
    <xf numFmtId="0" fontId="0" fillId="0" borderId="28" xfId="0" applyFill="1" applyBorder="1"/>
    <xf numFmtId="0" fontId="0" fillId="0" borderId="58" xfId="0" applyFill="1" applyBorder="1"/>
    <xf numFmtId="0" fontId="0" fillId="0" borderId="10" xfId="0" applyFill="1" applyBorder="1"/>
    <xf numFmtId="0" fontId="0" fillId="0" borderId="59" xfId="0" applyFill="1" applyBorder="1"/>
    <xf numFmtId="0" fontId="0" fillId="0" borderId="0" xfId="0" applyBorder="1" applyAlignment="1">
      <alignment horizontal="center"/>
    </xf>
    <xf numFmtId="0" fontId="0" fillId="0" borderId="5" xfId="0" applyBorder="1" applyAlignment="1">
      <alignment horizontal="center"/>
    </xf>
    <xf numFmtId="0" fontId="0" fillId="0" borderId="4" xfId="0" applyBorder="1" applyAlignment="1">
      <alignment horizontal="center" vertical="center"/>
    </xf>
    <xf numFmtId="0" fontId="0" fillId="0" borderId="0" xfId="0" applyBorder="1" applyAlignment="1">
      <alignment horizontal="center" vertical="center"/>
    </xf>
    <xf numFmtId="0" fontId="0" fillId="11" borderId="0" xfId="0" applyFill="1"/>
    <xf numFmtId="0" fontId="0" fillId="0" borderId="15" xfId="0" applyFill="1" applyBorder="1" applyAlignment="1">
      <alignment horizontal="center"/>
    </xf>
    <xf numFmtId="0" fontId="0" fillId="0" borderId="0" xfId="0" applyFill="1" applyBorder="1" applyAlignment="1">
      <alignment horizontal="center"/>
    </xf>
    <xf numFmtId="0" fontId="0" fillId="0" borderId="5" xfId="0" applyFill="1" applyBorder="1" applyAlignment="1">
      <alignment horizontal="center"/>
    </xf>
    <xf numFmtId="0" fontId="0" fillId="12" borderId="0" xfId="0" applyFill="1"/>
    <xf numFmtId="0" fontId="0" fillId="11" borderId="0" xfId="0" applyFill="1" applyBorder="1"/>
    <xf numFmtId="11" fontId="0" fillId="11" borderId="0" xfId="0" applyNumberFormat="1" applyFill="1" applyBorder="1"/>
    <xf numFmtId="11" fontId="0" fillId="11" borderId="5" xfId="0" applyNumberFormat="1" applyFill="1" applyBorder="1"/>
    <xf numFmtId="0" fontId="0" fillId="0" borderId="0" xfId="0" applyBorder="1" applyAlignment="1">
      <alignment horizontal="center" vertical="center" wrapText="1"/>
    </xf>
    <xf numFmtId="165" fontId="0" fillId="0" borderId="45" xfId="0" applyNumberFormat="1" applyFont="1" applyFill="1" applyBorder="1" applyAlignment="1">
      <alignment horizontal="center" vertical="center"/>
    </xf>
    <xf numFmtId="165" fontId="18" fillId="8" borderId="35" xfId="0" applyNumberFormat="1" applyFont="1" applyFill="1" applyBorder="1" applyAlignment="1">
      <alignment horizontal="center" vertical="center" wrapText="1"/>
    </xf>
    <xf numFmtId="165" fontId="15" fillId="4" borderId="43" xfId="0" applyNumberFormat="1" applyFont="1" applyFill="1" applyBorder="1" applyAlignment="1">
      <alignment horizontal="center" vertical="center"/>
    </xf>
    <xf numFmtId="165" fontId="0" fillId="0" borderId="0" xfId="0" applyNumberFormat="1" applyAlignment="1">
      <alignment horizontal="center"/>
    </xf>
    <xf numFmtId="0" fontId="0" fillId="0" borderId="71" xfId="0" applyFill="1" applyBorder="1"/>
    <xf numFmtId="0" fontId="0" fillId="0" borderId="41" xfId="0" applyBorder="1" applyAlignment="1">
      <alignment horizontal="center"/>
    </xf>
    <xf numFmtId="0" fontId="0" fillId="0" borderId="28" xfId="0" applyBorder="1" applyAlignment="1">
      <alignment horizontal="center"/>
    </xf>
    <xf numFmtId="0" fontId="0" fillId="0" borderId="0" xfId="0" applyAlignment="1">
      <alignment horizontal="center"/>
    </xf>
    <xf numFmtId="0" fontId="0" fillId="0" borderId="0" xfId="0" applyAlignment="1">
      <alignment horizontal="center" wrapText="1"/>
    </xf>
    <xf numFmtId="0" fontId="4" fillId="6" borderId="9" xfId="0" applyFont="1" applyFill="1" applyBorder="1" applyAlignment="1">
      <alignment vertical="center"/>
    </xf>
    <xf numFmtId="0" fontId="4" fillId="6" borderId="11" xfId="0" applyFont="1" applyFill="1" applyBorder="1" applyAlignment="1">
      <alignment vertical="center"/>
    </xf>
    <xf numFmtId="0" fontId="18" fillId="0" borderId="14" xfId="0" applyFont="1" applyBorder="1" applyAlignment="1">
      <alignment horizontal="center" vertical="center"/>
    </xf>
    <xf numFmtId="0" fontId="18" fillId="0" borderId="55" xfId="0" applyFont="1" applyBorder="1" applyAlignment="1">
      <alignment vertical="center"/>
    </xf>
    <xf numFmtId="0" fontId="18" fillId="0" borderId="20" xfId="0" applyFont="1" applyBorder="1" applyAlignment="1">
      <alignment vertical="center"/>
    </xf>
    <xf numFmtId="0" fontId="0" fillId="0" borderId="17" xfId="0" applyBorder="1"/>
    <xf numFmtId="0" fontId="18" fillId="0" borderId="55"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4" xfId="0" applyFont="1" applyBorder="1" applyAlignment="1">
      <alignment vertical="center"/>
    </xf>
    <xf numFmtId="0" fontId="18" fillId="0" borderId="3" xfId="0" applyFont="1" applyBorder="1" applyAlignment="1">
      <alignment vertical="center"/>
    </xf>
    <xf numFmtId="0" fontId="0" fillId="0" borderId="38" xfId="0" applyFill="1" applyBorder="1"/>
    <xf numFmtId="0" fontId="18" fillId="0" borderId="55" xfId="0" applyFont="1" applyBorder="1" applyAlignment="1">
      <alignment horizontal="center" vertical="center"/>
    </xf>
    <xf numFmtId="0" fontId="13" fillId="7" borderId="10" xfId="0" applyFont="1" applyFill="1" applyBorder="1" applyAlignment="1" applyProtection="1">
      <alignment horizontal="center"/>
      <protection locked="0"/>
    </xf>
    <xf numFmtId="0" fontId="13" fillId="7" borderId="9" xfId="0" applyFont="1" applyFill="1" applyBorder="1" applyAlignment="1" applyProtection="1">
      <alignment horizontal="center"/>
      <protection locked="0"/>
    </xf>
    <xf numFmtId="0" fontId="13" fillId="7" borderId="10" xfId="0" applyFont="1" applyFill="1" applyBorder="1" applyAlignment="1" applyProtection="1">
      <alignment horizontal="center" vertical="center"/>
      <protection locked="0"/>
    </xf>
    <xf numFmtId="0" fontId="13" fillId="7" borderId="35" xfId="0" applyFont="1" applyFill="1" applyBorder="1" applyAlignment="1" applyProtection="1">
      <alignment horizontal="center"/>
      <protection locked="0"/>
    </xf>
    <xf numFmtId="0" fontId="13" fillId="7" borderId="35" xfId="0" applyFont="1" applyFill="1" applyBorder="1" applyAlignment="1" applyProtection="1">
      <alignment horizontal="center" vertical="center"/>
      <protection locked="0"/>
    </xf>
    <xf numFmtId="0" fontId="13" fillId="7" borderId="45" xfId="0" applyFont="1" applyFill="1" applyBorder="1" applyAlignment="1" applyProtection="1">
      <alignment horizontal="center" vertical="center"/>
      <protection locked="0"/>
    </xf>
    <xf numFmtId="0" fontId="13" fillId="7" borderId="42" xfId="0" applyFont="1" applyFill="1" applyBorder="1" applyAlignment="1" applyProtection="1">
      <alignment horizontal="center" vertical="center"/>
      <protection locked="0"/>
    </xf>
    <xf numFmtId="2" fontId="13" fillId="7" borderId="35" xfId="0" applyNumberFormat="1" applyFont="1" applyFill="1" applyBorder="1" applyAlignment="1" applyProtection="1">
      <alignment horizontal="center" vertical="center"/>
      <protection locked="0"/>
    </xf>
    <xf numFmtId="2" fontId="15" fillId="4" borderId="35" xfId="0" applyNumberFormat="1" applyFont="1" applyFill="1" applyBorder="1" applyAlignment="1">
      <alignment horizontal="center" vertical="center"/>
    </xf>
    <xf numFmtId="2" fontId="15" fillId="4" borderId="45" xfId="0" applyNumberFormat="1" applyFont="1" applyFill="1" applyBorder="1" applyAlignment="1">
      <alignment horizontal="center" vertical="center"/>
    </xf>
    <xf numFmtId="0" fontId="0" fillId="0" borderId="0"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3" fillId="7" borderId="35" xfId="0" applyFont="1" applyFill="1" applyBorder="1" applyAlignment="1" applyProtection="1">
      <alignment horizontal="center" vertical="center"/>
      <protection locked="0"/>
    </xf>
    <xf numFmtId="0" fontId="6" fillId="5" borderId="9" xfId="0" applyFont="1" applyFill="1" applyBorder="1" applyAlignment="1">
      <alignment horizontal="center" vertical="center"/>
    </xf>
    <xf numFmtId="0" fontId="6" fillId="5" borderId="35" xfId="0" applyFont="1" applyFill="1" applyBorder="1" applyAlignment="1">
      <alignment horizontal="center" vertical="center"/>
    </xf>
    <xf numFmtId="0" fontId="0" fillId="0" borderId="0" xfId="0" applyAlignment="1">
      <alignment horizontal="center"/>
    </xf>
    <xf numFmtId="2" fontId="15" fillId="4" borderId="43" xfId="0" applyNumberFormat="1" applyFont="1" applyFill="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13" fillId="7" borderId="9" xfId="0" applyFont="1" applyFill="1" applyBorder="1" applyAlignment="1" applyProtection="1">
      <alignment horizontal="center" vertical="center"/>
      <protection locked="0"/>
    </xf>
    <xf numFmtId="0" fontId="13" fillId="7" borderId="45" xfId="0" applyFont="1" applyFill="1" applyBorder="1" applyAlignment="1" applyProtection="1">
      <alignment horizontal="center" vertical="center"/>
      <protection locked="0"/>
    </xf>
    <xf numFmtId="0" fontId="18" fillId="0" borderId="24" xfId="0" applyFont="1" applyFill="1" applyBorder="1" applyAlignment="1">
      <alignment vertical="center"/>
    </xf>
    <xf numFmtId="0" fontId="21" fillId="0" borderId="24" xfId="0" applyFont="1" applyFill="1" applyBorder="1" applyAlignment="1"/>
    <xf numFmtId="0" fontId="0" fillId="0" borderId="13" xfId="0" applyBorder="1"/>
    <xf numFmtId="0" fontId="18" fillId="0" borderId="0" xfId="0" applyFont="1" applyFill="1" applyBorder="1" applyAlignment="1"/>
    <xf numFmtId="0" fontId="18" fillId="0" borderId="24" xfId="0" applyFont="1" applyFill="1" applyBorder="1" applyAlignment="1"/>
    <xf numFmtId="0" fontId="0" fillId="0" borderId="0" xfId="0" applyAlignment="1"/>
    <xf numFmtId="0" fontId="18" fillId="8" borderId="36" xfId="0" applyFont="1" applyFill="1" applyBorder="1" applyAlignment="1">
      <alignment vertical="center" wrapText="1"/>
    </xf>
    <xf numFmtId="0" fontId="18" fillId="8" borderId="9" xfId="0" applyFont="1" applyFill="1" applyBorder="1" applyAlignment="1">
      <alignment vertical="center" wrapText="1"/>
    </xf>
    <xf numFmtId="165" fontId="18" fillId="8" borderId="35" xfId="0" applyNumberFormat="1" applyFont="1" applyFill="1" applyBorder="1" applyAlignment="1">
      <alignment vertical="center" wrapText="1"/>
    </xf>
    <xf numFmtId="0" fontId="18" fillId="8" borderId="35" xfId="0" applyFont="1" applyFill="1" applyBorder="1" applyAlignment="1">
      <alignment vertical="center" wrapText="1"/>
    </xf>
    <xf numFmtId="0" fontId="0" fillId="0" borderId="0" xfId="0" applyAlignment="1">
      <alignment vertical="center"/>
    </xf>
    <xf numFmtId="0" fontId="0" fillId="0" borderId="9" xfId="0" applyBorder="1" applyAlignment="1">
      <alignment vertical="center"/>
    </xf>
    <xf numFmtId="2" fontId="15" fillId="4" borderId="9" xfId="0" applyNumberFormat="1" applyFont="1" applyFill="1"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27" fillId="10" borderId="9" xfId="0" applyFont="1" applyFill="1" applyBorder="1" applyAlignment="1">
      <alignment horizontal="center"/>
    </xf>
    <xf numFmtId="0" fontId="0" fillId="0" borderId="10" xfId="0" applyBorder="1" applyAlignment="1">
      <alignment vertical="center"/>
    </xf>
    <xf numFmtId="0" fontId="0" fillId="0" borderId="18" xfId="0" applyBorder="1" applyAlignment="1">
      <alignment vertical="center"/>
    </xf>
    <xf numFmtId="0" fontId="0" fillId="0" borderId="11" xfId="0" applyBorder="1" applyAlignment="1">
      <alignment vertical="center"/>
    </xf>
    <xf numFmtId="0" fontId="0" fillId="0" borderId="73" xfId="0" applyBorder="1" applyAlignment="1">
      <alignment vertical="center"/>
    </xf>
    <xf numFmtId="0" fontId="0" fillId="0" borderId="62" xfId="0" applyBorder="1" applyAlignment="1">
      <alignment vertical="center"/>
    </xf>
    <xf numFmtId="0" fontId="39" fillId="0" borderId="0" xfId="0" applyFont="1" applyAlignment="1">
      <alignment horizontal="left" vertical="center"/>
    </xf>
    <xf numFmtId="0" fontId="41" fillId="0" borderId="0" xfId="0" applyFont="1" applyFill="1" applyBorder="1" applyAlignment="1">
      <alignment vertical="center"/>
    </xf>
    <xf numFmtId="0" fontId="39" fillId="0" borderId="0" xfId="0" applyFont="1" applyAlignment="1">
      <alignment vertical="center"/>
    </xf>
    <xf numFmtId="0" fontId="39" fillId="0" borderId="0" xfId="0" applyFont="1" applyBorder="1" applyAlignment="1">
      <alignment horizontal="left" vertical="center"/>
    </xf>
    <xf numFmtId="2" fontId="15" fillId="4" borderId="35" xfId="0" applyNumberFormat="1" applyFont="1" applyFill="1" applyBorder="1" applyAlignment="1" applyProtection="1">
      <alignment horizontal="center" vertical="center"/>
      <protection locked="0"/>
    </xf>
    <xf numFmtId="2" fontId="15" fillId="4" borderId="45" xfId="0" applyNumberFormat="1" applyFont="1" applyFill="1" applyBorder="1" applyAlignment="1" applyProtection="1">
      <alignment horizontal="center" vertical="center"/>
      <protection locked="0"/>
    </xf>
    <xf numFmtId="0" fontId="39" fillId="0" borderId="4" xfId="0" applyFont="1" applyBorder="1" applyAlignment="1">
      <alignment horizontal="left" vertical="center" wrapText="1"/>
    </xf>
    <xf numFmtId="0" fontId="39" fillId="0" borderId="0" xfId="0" applyFont="1" applyBorder="1" applyAlignment="1">
      <alignment horizontal="left" vertical="center" wrapText="1"/>
    </xf>
    <xf numFmtId="0" fontId="39" fillId="0" borderId="5" xfId="0" applyFont="1" applyBorder="1" applyAlignment="1">
      <alignment horizontal="left" vertical="center" wrapText="1"/>
    </xf>
    <xf numFmtId="0" fontId="39" fillId="0" borderId="4" xfId="0" applyFont="1" applyBorder="1" applyAlignment="1">
      <alignment horizontal="left" vertical="center"/>
    </xf>
    <xf numFmtId="0" fontId="39" fillId="0" borderId="0" xfId="0" applyFont="1" applyBorder="1" applyAlignment="1">
      <alignment horizontal="left" vertical="center"/>
    </xf>
    <xf numFmtId="0" fontId="39" fillId="0" borderId="5" xfId="0" applyFont="1" applyBorder="1" applyAlignment="1">
      <alignment horizontal="left" vertical="center"/>
    </xf>
    <xf numFmtId="0" fontId="39" fillId="0" borderId="6" xfId="0" applyFont="1" applyBorder="1" applyAlignment="1">
      <alignment horizontal="left" vertical="center"/>
    </xf>
    <xf numFmtId="0" fontId="39" fillId="0" borderId="7" xfId="0" applyFont="1" applyBorder="1" applyAlignment="1">
      <alignment horizontal="left" vertical="center"/>
    </xf>
    <xf numFmtId="0" fontId="39" fillId="0" borderId="8" xfId="0" applyFont="1" applyBorder="1" applyAlignment="1">
      <alignment horizontal="left" vertical="center"/>
    </xf>
    <xf numFmtId="0" fontId="41" fillId="8" borderId="23" xfId="0" applyFont="1" applyFill="1" applyBorder="1" applyAlignment="1">
      <alignment horizontal="center" vertical="center"/>
    </xf>
    <xf numFmtId="0" fontId="41" fillId="8" borderId="24" xfId="0" applyFont="1" applyFill="1" applyBorder="1" applyAlignment="1">
      <alignment horizontal="center" vertical="center"/>
    </xf>
    <xf numFmtId="0" fontId="41" fillId="8" borderId="25" xfId="0" applyFont="1" applyFill="1" applyBorder="1" applyAlignment="1">
      <alignment horizontal="center" vertical="center"/>
    </xf>
    <xf numFmtId="0" fontId="39" fillId="0" borderId="30" xfId="0" applyFont="1" applyBorder="1" applyAlignment="1">
      <alignment horizontal="left" vertical="center"/>
    </xf>
    <xf numFmtId="0" fontId="39" fillId="0" borderId="31" xfId="0" applyFont="1" applyBorder="1" applyAlignment="1">
      <alignment horizontal="left" vertical="center"/>
    </xf>
    <xf numFmtId="0" fontId="39" fillId="0" borderId="61" xfId="0" applyFont="1" applyBorder="1" applyAlignment="1">
      <alignment horizontal="left" vertical="center"/>
    </xf>
    <xf numFmtId="0" fontId="6" fillId="5" borderId="39" xfId="0" applyFont="1" applyFill="1" applyBorder="1" applyAlignment="1">
      <alignment horizontal="center"/>
    </xf>
    <xf numFmtId="0" fontId="6" fillId="5" borderId="27" xfId="0" applyFont="1" applyFill="1" applyBorder="1" applyAlignment="1">
      <alignment horizontal="center"/>
    </xf>
    <xf numFmtId="0" fontId="4" fillId="2" borderId="59" xfId="0" applyFont="1" applyFill="1" applyBorder="1" applyAlignment="1">
      <alignment horizontal="center" vertical="center"/>
    </xf>
    <xf numFmtId="0" fontId="4" fillId="2" borderId="27" xfId="0" applyFont="1" applyFill="1" applyBorder="1" applyAlignment="1">
      <alignment horizontal="center" vertical="center"/>
    </xf>
    <xf numFmtId="0" fontId="0" fillId="14" borderId="23" xfId="0" applyFill="1" applyBorder="1" applyAlignment="1">
      <alignment horizontal="center"/>
    </xf>
    <xf numFmtId="0" fontId="0" fillId="14" borderId="24" xfId="0" applyFill="1" applyBorder="1" applyAlignment="1">
      <alignment horizontal="center"/>
    </xf>
    <xf numFmtId="0" fontId="0" fillId="14" borderId="25" xfId="0" applyFill="1" applyBorder="1" applyAlignment="1">
      <alignment horizontal="center"/>
    </xf>
    <xf numFmtId="0" fontId="32" fillId="5" borderId="70" xfId="0" applyFont="1" applyFill="1" applyBorder="1" applyAlignment="1">
      <alignment horizontal="center" vertical="center"/>
    </xf>
    <xf numFmtId="0" fontId="32" fillId="5" borderId="52" xfId="0" applyFont="1" applyFill="1" applyBorder="1" applyAlignment="1">
      <alignment horizontal="center" vertical="center"/>
    </xf>
    <xf numFmtId="2" fontId="15" fillId="4" borderId="35" xfId="0" applyNumberFormat="1" applyFont="1" applyFill="1" applyBorder="1" applyAlignment="1">
      <alignment horizontal="center" vertical="center"/>
    </xf>
    <xf numFmtId="2" fontId="15" fillId="4" borderId="45" xfId="0" applyNumberFormat="1" applyFont="1" applyFill="1" applyBorder="1" applyAlignment="1">
      <alignment horizontal="center" vertical="center"/>
    </xf>
    <xf numFmtId="0" fontId="32" fillId="5" borderId="72" xfId="0" applyFont="1" applyFill="1" applyBorder="1" applyAlignment="1">
      <alignment horizontal="center" vertical="center" wrapText="1"/>
    </xf>
    <xf numFmtId="0" fontId="32" fillId="5" borderId="67" xfId="0" applyFont="1" applyFill="1" applyBorder="1" applyAlignment="1">
      <alignment horizontal="center" vertical="center" wrapText="1"/>
    </xf>
    <xf numFmtId="0" fontId="32" fillId="5" borderId="72" xfId="0" applyFont="1" applyFill="1" applyBorder="1" applyAlignment="1">
      <alignment horizontal="center" vertical="center"/>
    </xf>
    <xf numFmtId="0" fontId="32" fillId="5" borderId="67" xfId="0" applyFont="1" applyFill="1" applyBorder="1" applyAlignment="1">
      <alignment horizontal="center" vertical="center"/>
    </xf>
    <xf numFmtId="0" fontId="3" fillId="5" borderId="14" xfId="0" applyFont="1" applyFill="1" applyBorder="1" applyAlignment="1">
      <alignment horizontal="center" vertical="center" textRotation="90" wrapText="1"/>
    </xf>
    <xf numFmtId="0" fontId="3" fillId="5" borderId="15" xfId="0" applyFont="1" applyFill="1" applyBorder="1" applyAlignment="1">
      <alignment horizontal="center" vertical="center" textRotation="90" wrapText="1"/>
    </xf>
    <xf numFmtId="0" fontId="28" fillId="4" borderId="36" xfId="0" applyFont="1" applyFill="1" applyBorder="1" applyAlignment="1">
      <alignment horizontal="left" vertical="center" wrapText="1"/>
    </xf>
    <xf numFmtId="0" fontId="28" fillId="4" borderId="9" xfId="0" applyFont="1" applyFill="1" applyBorder="1" applyAlignment="1">
      <alignment horizontal="left" vertical="center" wrapText="1"/>
    </xf>
    <xf numFmtId="0" fontId="28" fillId="4" borderId="35" xfId="0" applyFont="1" applyFill="1" applyBorder="1" applyAlignment="1">
      <alignment horizontal="left" vertical="center" wrapText="1"/>
    </xf>
    <xf numFmtId="0" fontId="4" fillId="6" borderId="36" xfId="0" applyFont="1" applyFill="1" applyBorder="1" applyAlignment="1">
      <alignment horizontal="left"/>
    </xf>
    <xf numFmtId="0" fontId="4" fillId="6" borderId="9" xfId="0" applyFont="1" applyFill="1" applyBorder="1" applyAlignment="1">
      <alignment horizontal="left"/>
    </xf>
    <xf numFmtId="0" fontId="6" fillId="13" borderId="1" xfId="0" applyFont="1" applyFill="1" applyBorder="1" applyAlignment="1">
      <alignment horizontal="center" vertical="center"/>
    </xf>
    <xf numFmtId="0" fontId="6" fillId="13" borderId="2" xfId="0" applyFont="1" applyFill="1" applyBorder="1" applyAlignment="1">
      <alignment horizontal="center" vertical="center"/>
    </xf>
    <xf numFmtId="0" fontId="6" fillId="13" borderId="3"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Border="1" applyAlignment="1">
      <alignment horizontal="center" vertical="center"/>
    </xf>
    <xf numFmtId="0" fontId="6" fillId="13" borderId="5" xfId="0" applyFont="1" applyFill="1" applyBorder="1" applyAlignment="1">
      <alignment horizontal="center" vertical="center"/>
    </xf>
    <xf numFmtId="0" fontId="6" fillId="13" borderId="6" xfId="0" applyFont="1" applyFill="1" applyBorder="1" applyAlignment="1">
      <alignment horizontal="center" vertical="center"/>
    </xf>
    <xf numFmtId="0" fontId="6" fillId="13" borderId="7" xfId="0" applyFont="1" applyFill="1" applyBorder="1" applyAlignment="1">
      <alignment horizontal="center" vertical="center"/>
    </xf>
    <xf numFmtId="0" fontId="6" fillId="13" borderId="8" xfId="0" applyFont="1" applyFill="1" applyBorder="1" applyAlignment="1">
      <alignment horizontal="center" vertical="center"/>
    </xf>
    <xf numFmtId="0" fontId="28" fillId="4" borderId="30" xfId="0" applyFont="1" applyFill="1" applyBorder="1" applyAlignment="1">
      <alignment horizontal="left" vertical="center" wrapText="1"/>
    </xf>
    <xf numFmtId="0" fontId="28" fillId="4" borderId="31" xfId="0" applyFont="1" applyFill="1" applyBorder="1" applyAlignment="1">
      <alignment horizontal="left" vertical="center" wrapText="1"/>
    </xf>
    <xf numFmtId="0" fontId="28" fillId="4" borderId="61" xfId="0" applyFont="1" applyFill="1" applyBorder="1" applyAlignment="1">
      <alignment horizontal="left" vertical="center" wrapText="1"/>
    </xf>
    <xf numFmtId="0" fontId="28" fillId="4" borderId="33" xfId="0" applyFont="1" applyFill="1" applyBorder="1" applyAlignment="1">
      <alignment horizontal="left" vertical="center" wrapText="1"/>
    </xf>
    <xf numFmtId="0" fontId="28" fillId="4" borderId="13" xfId="0" applyFont="1" applyFill="1" applyBorder="1" applyAlignment="1">
      <alignment horizontal="left" vertical="center" wrapText="1"/>
    </xf>
    <xf numFmtId="0" fontId="28" fillId="4" borderId="48" xfId="0" applyFont="1" applyFill="1" applyBorder="1" applyAlignment="1">
      <alignment horizontal="left" vertical="center" wrapText="1"/>
    </xf>
    <xf numFmtId="0" fontId="4" fillId="6" borderId="29" xfId="0" applyFont="1" applyFill="1" applyBorder="1" applyAlignment="1">
      <alignment horizontal="left" vertical="center" wrapText="1"/>
    </xf>
    <xf numFmtId="0" fontId="4" fillId="6" borderId="18" xfId="0" applyFont="1" applyFill="1" applyBorder="1" applyAlignment="1">
      <alignment horizontal="left" vertical="center" wrapText="1"/>
    </xf>
    <xf numFmtId="0" fontId="4" fillId="6" borderId="11" xfId="0" applyFont="1" applyFill="1" applyBorder="1" applyAlignment="1">
      <alignment horizontal="left" vertical="center" wrapText="1"/>
    </xf>
    <xf numFmtId="0" fontId="4" fillId="6" borderId="36" xfId="0" applyFont="1" applyFill="1" applyBorder="1" applyAlignment="1">
      <alignment horizontal="left" vertical="center" wrapText="1"/>
    </xf>
    <xf numFmtId="0" fontId="4" fillId="6" borderId="9" xfId="0" applyFont="1" applyFill="1" applyBorder="1" applyAlignment="1">
      <alignment horizontal="left" vertical="center" wrapText="1"/>
    </xf>
    <xf numFmtId="0" fontId="4" fillId="6" borderId="51" xfId="0" applyFont="1" applyFill="1" applyBorder="1" applyAlignment="1">
      <alignment horizontal="left" vertical="center" wrapText="1"/>
    </xf>
    <xf numFmtId="0" fontId="4" fillId="6" borderId="42" xfId="0" applyFont="1" applyFill="1" applyBorder="1" applyAlignment="1">
      <alignment horizontal="left" vertical="center" wrapText="1"/>
    </xf>
    <xf numFmtId="0" fontId="32" fillId="5" borderId="68" xfId="0" applyFont="1" applyFill="1" applyBorder="1" applyAlignment="1">
      <alignment horizontal="center" vertical="center" wrapText="1"/>
    </xf>
    <xf numFmtId="0" fontId="32" fillId="5" borderId="69" xfId="0" applyFont="1" applyFill="1" applyBorder="1" applyAlignment="1">
      <alignment horizontal="center" vertical="center" wrapText="1"/>
    </xf>
    <xf numFmtId="0" fontId="32" fillId="5" borderId="57" xfId="0" applyFont="1" applyFill="1" applyBorder="1" applyAlignment="1">
      <alignment horizontal="center" vertical="center" wrapText="1"/>
    </xf>
    <xf numFmtId="0" fontId="32" fillId="5" borderId="53" xfId="0" applyFont="1" applyFill="1" applyBorder="1" applyAlignment="1">
      <alignment horizontal="center" vertical="center" wrapText="1"/>
    </xf>
    <xf numFmtId="164" fontId="33" fillId="0" borderId="69" xfId="0" applyNumberFormat="1" applyFont="1" applyBorder="1" applyAlignment="1">
      <alignment horizontal="center" vertical="center"/>
    </xf>
    <xf numFmtId="164" fontId="33" fillId="0" borderId="53" xfId="0" applyNumberFormat="1" applyFont="1" applyBorder="1" applyAlignment="1">
      <alignment horizontal="center" vertical="center"/>
    </xf>
    <xf numFmtId="164" fontId="33" fillId="0" borderId="72" xfId="0" applyNumberFormat="1" applyFont="1" applyBorder="1" applyAlignment="1">
      <alignment horizontal="center" vertical="center"/>
    </xf>
    <xf numFmtId="164" fontId="33" fillId="0" borderId="67" xfId="0" applyNumberFormat="1" applyFont="1" applyBorder="1" applyAlignment="1">
      <alignment horizontal="center" vertical="center"/>
    </xf>
    <xf numFmtId="164" fontId="33" fillId="0" borderId="71" xfId="0" applyNumberFormat="1" applyFont="1" applyBorder="1" applyAlignment="1">
      <alignment horizontal="center" vertical="center"/>
    </xf>
    <xf numFmtId="164" fontId="33" fillId="0" borderId="12" xfId="0" applyNumberFormat="1" applyFont="1" applyBorder="1" applyAlignment="1">
      <alignment horizontal="center" vertical="center"/>
    </xf>
    <xf numFmtId="2" fontId="15" fillId="4" borderId="47" xfId="0" applyNumberFormat="1" applyFont="1" applyFill="1" applyBorder="1" applyAlignment="1">
      <alignment horizontal="center" vertical="center"/>
    </xf>
    <xf numFmtId="0" fontId="26" fillId="6" borderId="30" xfId="0" applyFont="1" applyFill="1" applyBorder="1" applyAlignment="1">
      <alignment horizontal="left" vertical="center" wrapText="1"/>
    </xf>
    <xf numFmtId="0" fontId="26" fillId="6" borderId="32" xfId="0" applyFont="1" applyFill="1" applyBorder="1" applyAlignment="1">
      <alignment horizontal="left" vertical="center" wrapText="1"/>
    </xf>
    <xf numFmtId="0" fontId="26" fillId="6" borderId="33" xfId="0" applyFont="1" applyFill="1" applyBorder="1" applyAlignment="1">
      <alignment horizontal="left" vertical="center" wrapText="1"/>
    </xf>
    <xf numFmtId="0" fontId="26" fillId="6" borderId="21"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26" fillId="6" borderId="12" xfId="0" applyFont="1" applyFill="1" applyBorder="1" applyAlignment="1">
      <alignment horizontal="left" vertical="center" wrapText="1"/>
    </xf>
    <xf numFmtId="2" fontId="15" fillId="4" borderId="50" xfId="0" applyNumberFormat="1" applyFont="1" applyFill="1" applyBorder="1" applyAlignment="1">
      <alignment horizontal="center" vertical="center"/>
    </xf>
    <xf numFmtId="0" fontId="6" fillId="5" borderId="66"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47" xfId="0" applyFont="1" applyFill="1" applyBorder="1" applyAlignment="1">
      <alignment horizontal="center" vertical="center"/>
    </xf>
    <xf numFmtId="0" fontId="30" fillId="4" borderId="36" xfId="0" applyFont="1" applyFill="1" applyBorder="1" applyAlignment="1">
      <alignment horizontal="center" vertical="center" wrapText="1"/>
    </xf>
    <xf numFmtId="0" fontId="30" fillId="4" borderId="9" xfId="0" applyFont="1" applyFill="1" applyBorder="1" applyAlignment="1">
      <alignment horizontal="center" vertical="center" wrapText="1"/>
    </xf>
    <xf numFmtId="0" fontId="30" fillId="4" borderId="35" xfId="0" applyFont="1" applyFill="1" applyBorder="1" applyAlignment="1">
      <alignment horizontal="center" vertical="center" wrapText="1"/>
    </xf>
    <xf numFmtId="0" fontId="0" fillId="0" borderId="44" xfId="0" applyBorder="1" applyAlignment="1">
      <alignment horizontal="center"/>
    </xf>
    <xf numFmtId="0" fontId="0" fillId="0" borderId="41" xfId="0" applyBorder="1" applyAlignment="1">
      <alignment horizontal="center"/>
    </xf>
    <xf numFmtId="0" fontId="0" fillId="0" borderId="51" xfId="0" applyBorder="1" applyAlignment="1">
      <alignment horizontal="center"/>
    </xf>
    <xf numFmtId="0" fontId="0" fillId="0" borderId="42" xfId="0" applyBorder="1" applyAlignment="1">
      <alignment horizontal="center"/>
    </xf>
    <xf numFmtId="0" fontId="4" fillId="6" borderId="36" xfId="0" applyFont="1" applyFill="1" applyBorder="1" applyAlignment="1">
      <alignment horizontal="left" vertical="center"/>
    </xf>
    <xf numFmtId="0" fontId="4" fillId="6" borderId="9" xfId="0" applyFont="1" applyFill="1" applyBorder="1" applyAlignment="1">
      <alignment horizontal="left" vertical="center"/>
    </xf>
    <xf numFmtId="0" fontId="13" fillId="7" borderId="35" xfId="0" applyFont="1" applyFill="1" applyBorder="1" applyAlignment="1" applyProtection="1">
      <alignment horizontal="center" vertical="center"/>
      <protection locked="0"/>
    </xf>
    <xf numFmtId="0" fontId="13" fillId="7" borderId="38" xfId="0" applyFont="1" applyFill="1" applyBorder="1" applyAlignment="1" applyProtection="1">
      <alignment horizontal="center" vertical="center"/>
      <protection locked="0"/>
    </xf>
    <xf numFmtId="0" fontId="6" fillId="5" borderId="36" xfId="0" applyFont="1" applyFill="1" applyBorder="1" applyAlignment="1">
      <alignment horizontal="center" vertical="center"/>
    </xf>
    <xf numFmtId="0" fontId="6" fillId="5" borderId="9" xfId="0" applyFont="1" applyFill="1" applyBorder="1" applyAlignment="1">
      <alignment horizontal="center" vertical="center"/>
    </xf>
    <xf numFmtId="164" fontId="33" fillId="0" borderId="68" xfId="0" applyNumberFormat="1" applyFont="1" applyBorder="1" applyAlignment="1">
      <alignment horizontal="center" vertical="center"/>
    </xf>
    <xf numFmtId="164" fontId="33" fillId="0" borderId="57" xfId="0" applyNumberFormat="1" applyFont="1" applyBorder="1" applyAlignment="1">
      <alignment horizontal="center" vertical="center"/>
    </xf>
    <xf numFmtId="164" fontId="33" fillId="0" borderId="41" xfId="0" applyNumberFormat="1" applyFont="1" applyBorder="1" applyAlignment="1">
      <alignment horizontal="center" vertical="center"/>
    </xf>
    <xf numFmtId="164" fontId="33" fillId="0" borderId="28" xfId="0" applyNumberFormat="1" applyFont="1" applyBorder="1" applyAlignment="1">
      <alignment horizontal="center" vertical="center"/>
    </xf>
    <xf numFmtId="164" fontId="33" fillId="0" borderId="42" xfId="0" applyNumberFormat="1" applyFont="1" applyBorder="1" applyAlignment="1">
      <alignment horizontal="center" vertical="center"/>
    </xf>
    <xf numFmtId="0" fontId="0" fillId="0" borderId="34" xfId="0" applyBorder="1" applyAlignment="1">
      <alignment horizontal="center"/>
    </xf>
    <xf numFmtId="0" fontId="0" fillId="0" borderId="36" xfId="0" applyBorder="1" applyAlignment="1">
      <alignment horizontal="center"/>
    </xf>
    <xf numFmtId="0" fontId="0" fillId="0" borderId="9" xfId="0" applyBorder="1" applyAlignment="1">
      <alignment horizontal="center"/>
    </xf>
    <xf numFmtId="0" fontId="0" fillId="0" borderId="35" xfId="0" applyBorder="1" applyAlignment="1">
      <alignment horizontal="center"/>
    </xf>
    <xf numFmtId="0" fontId="0" fillId="0" borderId="37" xfId="0" applyBorder="1" applyAlignment="1">
      <alignment horizontal="center"/>
    </xf>
    <xf numFmtId="0" fontId="0" fillId="0" borderId="28" xfId="0" applyBorder="1" applyAlignment="1">
      <alignment horizontal="center"/>
    </xf>
    <xf numFmtId="0" fontId="0" fillId="0" borderId="38"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4" fillId="6" borderId="42" xfId="0" applyFont="1" applyFill="1" applyBorder="1" applyAlignment="1">
      <alignment horizontal="left"/>
    </xf>
    <xf numFmtId="0" fontId="13" fillId="7" borderId="9" xfId="0" applyFont="1" applyFill="1" applyBorder="1" applyAlignment="1" applyProtection="1">
      <alignment horizontal="center" vertical="center"/>
      <protection locked="0"/>
    </xf>
    <xf numFmtId="0" fontId="13" fillId="7" borderId="28" xfId="0" applyFont="1" applyFill="1" applyBorder="1" applyAlignment="1" applyProtection="1">
      <alignment horizontal="center" vertical="center"/>
      <protection locked="0"/>
    </xf>
    <xf numFmtId="0" fontId="6" fillId="5" borderId="44"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34" xfId="0" applyFont="1" applyFill="1" applyBorder="1" applyAlignment="1">
      <alignment horizontal="center" vertical="center"/>
    </xf>
    <xf numFmtId="0" fontId="6" fillId="5" borderId="35" xfId="0" applyFont="1" applyFill="1" applyBorder="1" applyAlignment="1">
      <alignment horizontal="center" vertical="center"/>
    </xf>
    <xf numFmtId="0" fontId="4" fillId="6" borderId="37" xfId="0" applyFont="1" applyFill="1" applyBorder="1" applyAlignment="1">
      <alignment horizontal="left"/>
    </xf>
    <xf numFmtId="0" fontId="4" fillId="6" borderId="28" xfId="0" applyFont="1" applyFill="1" applyBorder="1" applyAlignment="1">
      <alignment horizontal="left"/>
    </xf>
    <xf numFmtId="0" fontId="4" fillId="6" borderId="31" xfId="0" applyFont="1" applyFill="1" applyBorder="1" applyAlignment="1">
      <alignment horizontal="left" vertical="center"/>
    </xf>
    <xf numFmtId="0" fontId="4" fillId="6" borderId="32" xfId="0" applyFont="1" applyFill="1" applyBorder="1" applyAlignment="1">
      <alignment horizontal="left" vertical="center"/>
    </xf>
    <xf numFmtId="0" fontId="4" fillId="6" borderId="30" xfId="0" applyFont="1" applyFill="1" applyBorder="1" applyAlignment="1">
      <alignment horizontal="left" vertical="center"/>
    </xf>
    <xf numFmtId="0" fontId="4" fillId="6" borderId="4" xfId="0" applyFont="1" applyFill="1" applyBorder="1" applyAlignment="1">
      <alignment horizontal="left" vertical="center"/>
    </xf>
    <xf numFmtId="0" fontId="4" fillId="6" borderId="0" xfId="0" applyFont="1" applyFill="1" applyBorder="1" applyAlignment="1">
      <alignment horizontal="left" vertical="center"/>
    </xf>
    <xf numFmtId="0" fontId="4" fillId="6" borderId="12" xfId="0" applyFont="1" applyFill="1" applyBorder="1" applyAlignment="1">
      <alignment horizontal="left" vertical="center"/>
    </xf>
    <xf numFmtId="0" fontId="33" fillId="11" borderId="34" xfId="0" applyFont="1" applyFill="1" applyBorder="1" applyAlignment="1">
      <alignment horizontal="center" vertical="center"/>
    </xf>
    <xf numFmtId="0" fontId="33" fillId="11" borderId="38" xfId="0" applyFont="1" applyFill="1" applyBorder="1" applyAlignment="1">
      <alignment horizontal="center" vertical="center"/>
    </xf>
    <xf numFmtId="0" fontId="33" fillId="11" borderId="45" xfId="0" applyFont="1" applyFill="1" applyBorder="1" applyAlignment="1">
      <alignment horizontal="center" vertical="center"/>
    </xf>
    <xf numFmtId="0" fontId="6" fillId="5" borderId="66" xfId="0" applyFont="1" applyFill="1" applyBorder="1" applyAlignment="1">
      <alignment horizontal="center"/>
    </xf>
    <xf numFmtId="0" fontId="6" fillId="5" borderId="17" xfId="0" applyFont="1" applyFill="1" applyBorder="1" applyAlignment="1">
      <alignment horizontal="center"/>
    </xf>
    <xf numFmtId="0" fontId="6" fillId="5" borderId="47" xfId="0" applyFont="1" applyFill="1" applyBorder="1" applyAlignment="1">
      <alignment horizontal="center"/>
    </xf>
    <xf numFmtId="0" fontId="0" fillId="0" borderId="10" xfId="0" applyBorder="1" applyAlignment="1">
      <alignment horizontal="center"/>
    </xf>
    <xf numFmtId="166" fontId="4" fillId="6" borderId="36" xfId="0" applyNumberFormat="1" applyFont="1" applyFill="1" applyBorder="1" applyAlignment="1">
      <alignment horizontal="left" vertical="center" wrapText="1"/>
    </xf>
    <xf numFmtId="166" fontId="4" fillId="6" borderId="9" xfId="0" applyNumberFormat="1" applyFont="1" applyFill="1" applyBorder="1" applyAlignment="1">
      <alignment horizontal="left" vertical="center" wrapText="1"/>
    </xf>
    <xf numFmtId="166" fontId="4" fillId="6" borderId="51" xfId="0" applyNumberFormat="1" applyFont="1" applyFill="1" applyBorder="1" applyAlignment="1">
      <alignment horizontal="left" vertical="center" wrapText="1"/>
    </xf>
    <xf numFmtId="166" fontId="4" fillId="6" borderId="42" xfId="0" applyNumberFormat="1" applyFont="1" applyFill="1" applyBorder="1" applyAlignment="1">
      <alignment horizontal="left"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33" xfId="0" applyBorder="1" applyAlignment="1">
      <alignment horizontal="center"/>
    </xf>
    <xf numFmtId="0" fontId="0" fillId="0" borderId="13" xfId="0" applyBorder="1" applyAlignment="1">
      <alignment horizontal="center"/>
    </xf>
    <xf numFmtId="0" fontId="0" fillId="0" borderId="48" xfId="0" applyBorder="1" applyAlignment="1">
      <alignment horizontal="center"/>
    </xf>
    <xf numFmtId="0" fontId="4" fillId="6" borderId="37" xfId="0" applyFont="1" applyFill="1" applyBorder="1" applyAlignment="1">
      <alignment horizontal="left" vertical="center"/>
    </xf>
    <xf numFmtId="0" fontId="4" fillId="6" borderId="28" xfId="0" applyFont="1" applyFill="1" applyBorder="1" applyAlignment="1">
      <alignment horizontal="left" vertical="center"/>
    </xf>
    <xf numFmtId="0" fontId="6" fillId="5" borderId="26" xfId="0" applyFont="1" applyFill="1" applyBorder="1" applyAlignment="1">
      <alignment horizontal="center"/>
    </xf>
    <xf numFmtId="0" fontId="3" fillId="5" borderId="1" xfId="0" applyFont="1" applyFill="1" applyBorder="1" applyAlignment="1">
      <alignment horizontal="center" vertical="center" textRotation="90"/>
    </xf>
    <xf numFmtId="0" fontId="3" fillId="5" borderId="4" xfId="0" applyFont="1" applyFill="1" applyBorder="1" applyAlignment="1">
      <alignment horizontal="center" vertical="center" textRotation="90"/>
    </xf>
    <xf numFmtId="0" fontId="0" fillId="0" borderId="46" xfId="0" applyBorder="1" applyAlignment="1">
      <alignment horizontal="center"/>
    </xf>
    <xf numFmtId="0" fontId="0" fillId="0" borderId="58" xfId="0" applyBorder="1" applyAlignment="1">
      <alignment horizontal="center"/>
    </xf>
    <xf numFmtId="0" fontId="0" fillId="0" borderId="11" xfId="0" applyBorder="1" applyAlignment="1">
      <alignment horizontal="center"/>
    </xf>
    <xf numFmtId="0" fontId="4" fillId="6" borderId="51" xfId="0" applyFont="1" applyFill="1" applyBorder="1" applyAlignment="1">
      <alignment horizontal="left"/>
    </xf>
    <xf numFmtId="0" fontId="13" fillId="7" borderId="10" xfId="0" applyFont="1" applyFill="1" applyBorder="1" applyAlignment="1" applyProtection="1">
      <alignment horizontal="center" vertical="center"/>
      <protection locked="0"/>
    </xf>
    <xf numFmtId="0" fontId="4" fillId="6" borderId="13" xfId="0" applyFont="1" applyFill="1" applyBorder="1" applyAlignment="1">
      <alignment horizontal="left" vertical="center"/>
    </xf>
    <xf numFmtId="0" fontId="4" fillId="6" borderId="21" xfId="0" applyFont="1" applyFill="1" applyBorder="1" applyAlignment="1">
      <alignment horizontal="left" vertical="center"/>
    </xf>
    <xf numFmtId="0" fontId="13" fillId="7" borderId="43" xfId="0" applyFont="1" applyFill="1" applyBorder="1" applyAlignment="1" applyProtection="1">
      <alignment horizontal="center" vertical="center"/>
      <protection locked="0"/>
    </xf>
    <xf numFmtId="0" fontId="13" fillId="7" borderId="56" xfId="0" applyFont="1" applyFill="1" applyBorder="1" applyAlignment="1" applyProtection="1">
      <alignment horizontal="center" vertical="center"/>
      <protection locked="0"/>
    </xf>
    <xf numFmtId="0" fontId="4" fillId="6" borderId="31"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31" xfId="0" applyFont="1" applyFill="1" applyBorder="1" applyAlignment="1">
      <alignment horizontal="left"/>
    </xf>
    <xf numFmtId="2" fontId="15" fillId="4" borderId="43" xfId="0" applyNumberFormat="1" applyFont="1" applyFill="1" applyBorder="1" applyAlignment="1">
      <alignment horizontal="center" vertical="center"/>
    </xf>
    <xf numFmtId="2" fontId="15" fillId="4" borderId="56" xfId="0" applyNumberFormat="1" applyFont="1" applyFill="1" applyBorder="1" applyAlignment="1">
      <alignment horizontal="center" vertical="center"/>
    </xf>
    <xf numFmtId="0" fontId="6" fillId="5" borderId="29" xfId="0" applyFont="1" applyFill="1" applyBorder="1" applyAlignment="1">
      <alignment horizontal="center"/>
    </xf>
    <xf numFmtId="0" fontId="6" fillId="5" borderId="18" xfId="0" applyFont="1" applyFill="1" applyBorder="1" applyAlignment="1">
      <alignment horizontal="center"/>
    </xf>
    <xf numFmtId="0" fontId="44" fillId="14" borderId="1" xfId="0" applyFont="1" applyFill="1" applyBorder="1" applyAlignment="1">
      <alignment horizontal="center" vertical="center" wrapText="1"/>
    </xf>
    <xf numFmtId="0" fontId="44" fillId="14" borderId="2" xfId="0" applyFont="1" applyFill="1" applyBorder="1" applyAlignment="1">
      <alignment horizontal="center" vertical="center"/>
    </xf>
    <xf numFmtId="0" fontId="44" fillId="14" borderId="3" xfId="0" applyFont="1" applyFill="1" applyBorder="1" applyAlignment="1">
      <alignment horizontal="center" vertical="center"/>
    </xf>
    <xf numFmtId="0" fontId="44" fillId="14" borderId="6" xfId="0" applyFont="1" applyFill="1" applyBorder="1" applyAlignment="1">
      <alignment horizontal="center" vertical="center"/>
    </xf>
    <xf numFmtId="0" fontId="44" fillId="14" borderId="7" xfId="0" applyFont="1" applyFill="1" applyBorder="1" applyAlignment="1">
      <alignment horizontal="center" vertical="center"/>
    </xf>
    <xf numFmtId="0" fontId="44" fillId="14" borderId="8" xfId="0" applyFont="1" applyFill="1" applyBorder="1" applyAlignment="1">
      <alignment horizontal="center" vertical="center"/>
    </xf>
    <xf numFmtId="0" fontId="46" fillId="14" borderId="1" xfId="0" applyFont="1" applyFill="1" applyBorder="1" applyAlignment="1">
      <alignment horizontal="center" vertical="center"/>
    </xf>
    <xf numFmtId="0" fontId="46" fillId="14" borderId="2" xfId="0" applyFont="1" applyFill="1" applyBorder="1" applyAlignment="1">
      <alignment horizontal="center" vertical="center"/>
    </xf>
    <xf numFmtId="0" fontId="46" fillId="14" borderId="3" xfId="0" applyFont="1" applyFill="1" applyBorder="1" applyAlignment="1">
      <alignment horizontal="center" vertical="center"/>
    </xf>
    <xf numFmtId="0" fontId="46" fillId="14" borderId="6" xfId="0" applyFont="1" applyFill="1" applyBorder="1" applyAlignment="1">
      <alignment horizontal="center" vertical="center"/>
    </xf>
    <xf numFmtId="0" fontId="46" fillId="14" borderId="7" xfId="0" applyFont="1" applyFill="1" applyBorder="1" applyAlignment="1">
      <alignment horizontal="center" vertical="center"/>
    </xf>
    <xf numFmtId="0" fontId="46" fillId="14" borderId="8" xfId="0" applyFont="1" applyFill="1" applyBorder="1" applyAlignment="1">
      <alignment horizontal="center" vertical="center"/>
    </xf>
    <xf numFmtId="0" fontId="4" fillId="6" borderId="43" xfId="0" applyFont="1" applyFill="1" applyBorder="1" applyAlignment="1">
      <alignment horizontal="left"/>
    </xf>
    <xf numFmtId="0" fontId="4" fillId="6" borderId="30" xfId="0" applyFont="1" applyFill="1" applyBorder="1" applyAlignment="1">
      <alignment horizontal="left"/>
    </xf>
    <xf numFmtId="0" fontId="4" fillId="6" borderId="32" xfId="0" applyFont="1" applyFill="1" applyBorder="1" applyAlignment="1">
      <alignment horizontal="left"/>
    </xf>
    <xf numFmtId="0" fontId="3" fillId="5" borderId="14" xfId="0" applyFont="1" applyFill="1" applyBorder="1" applyAlignment="1">
      <alignment horizontal="center" vertical="center" textRotation="90"/>
    </xf>
    <xf numFmtId="0" fontId="3" fillId="5" borderId="15" xfId="0" applyFont="1" applyFill="1" applyBorder="1" applyAlignment="1">
      <alignment horizontal="center" vertical="center" textRotation="90"/>
    </xf>
    <xf numFmtId="0" fontId="3" fillId="5" borderId="16" xfId="0" applyFont="1" applyFill="1" applyBorder="1" applyAlignment="1">
      <alignment horizontal="center" vertical="center" textRotation="90"/>
    </xf>
    <xf numFmtId="0" fontId="6" fillId="5" borderId="23" xfId="0" applyFont="1" applyFill="1" applyBorder="1" applyAlignment="1">
      <alignment horizontal="center"/>
    </xf>
    <xf numFmtId="0" fontId="6" fillId="5" borderId="24" xfId="0" applyFont="1" applyFill="1" applyBorder="1" applyAlignment="1">
      <alignment horizontal="center"/>
    </xf>
    <xf numFmtId="0" fontId="4" fillId="6" borderId="29" xfId="0" applyFont="1" applyFill="1" applyBorder="1" applyAlignment="1">
      <alignment horizontal="left"/>
    </xf>
    <xf numFmtId="0" fontId="4" fillId="6" borderId="18" xfId="0" applyFont="1" applyFill="1" applyBorder="1" applyAlignment="1">
      <alignment horizontal="left"/>
    </xf>
    <xf numFmtId="0" fontId="4" fillId="6" borderId="11" xfId="0" applyFont="1" applyFill="1" applyBorder="1" applyAlignment="1">
      <alignment horizontal="left"/>
    </xf>
    <xf numFmtId="0" fontId="4" fillId="6" borderId="36"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37" xfId="0" applyFont="1" applyFill="1" applyBorder="1" applyAlignment="1">
      <alignment horizontal="center" vertical="center" wrapText="1"/>
    </xf>
    <xf numFmtId="0" fontId="4" fillId="6" borderId="28" xfId="0" applyFont="1" applyFill="1" applyBorder="1" applyAlignment="1">
      <alignment horizontal="center" vertical="center" wrapText="1"/>
    </xf>
    <xf numFmtId="0" fontId="4" fillId="6" borderId="66" xfId="0" applyFont="1" applyFill="1" applyBorder="1" applyAlignment="1">
      <alignment horizontal="left"/>
    </xf>
    <xf numFmtId="0" fontId="4" fillId="6" borderId="17" xfId="0" applyFont="1" applyFill="1" applyBorder="1" applyAlignment="1">
      <alignment horizontal="left"/>
    </xf>
    <xf numFmtId="0" fontId="4" fillId="6" borderId="26" xfId="0" applyFont="1" applyFill="1" applyBorder="1" applyAlignment="1">
      <alignment horizontal="left"/>
    </xf>
    <xf numFmtId="0" fontId="4" fillId="6" borderId="29" xfId="0" applyFont="1" applyFill="1" applyBorder="1" applyAlignment="1">
      <alignment horizontal="left" vertical="center"/>
    </xf>
    <xf numFmtId="0" fontId="4" fillId="6" borderId="18" xfId="0" applyFont="1" applyFill="1" applyBorder="1" applyAlignment="1">
      <alignment horizontal="left" vertical="center"/>
    </xf>
    <xf numFmtId="0" fontId="4" fillId="6" borderId="11" xfId="0" applyFont="1" applyFill="1" applyBorder="1" applyAlignment="1">
      <alignment horizontal="left" vertical="center"/>
    </xf>
    <xf numFmtId="0" fontId="4" fillId="6" borderId="10" xfId="0" applyFont="1" applyFill="1" applyBorder="1" applyAlignment="1">
      <alignment horizontal="left"/>
    </xf>
    <xf numFmtId="0" fontId="6" fillId="5" borderId="24" xfId="0" applyFont="1" applyFill="1" applyBorder="1" applyAlignment="1">
      <alignment horizontal="center" vertical="center"/>
    </xf>
    <xf numFmtId="0" fontId="6" fillId="5" borderId="25" xfId="0" applyFont="1" applyFill="1"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xf>
    <xf numFmtId="0" fontId="0" fillId="0" borderId="61" xfId="0" applyBorder="1" applyAlignment="1">
      <alignment horizontal="center"/>
    </xf>
    <xf numFmtId="0" fontId="6" fillId="5" borderId="23" xfId="0" applyFont="1" applyFill="1" applyBorder="1" applyAlignment="1">
      <alignment horizontal="center" vertical="center"/>
    </xf>
    <xf numFmtId="0" fontId="42" fillId="9" borderId="44" xfId="0" applyFont="1" applyFill="1" applyBorder="1" applyAlignment="1">
      <alignment horizontal="center" vertical="center"/>
    </xf>
    <xf numFmtId="0" fontId="43" fillId="9" borderId="41" xfId="0" applyFont="1" applyFill="1" applyBorder="1" applyAlignment="1">
      <alignment horizontal="center" vertical="center"/>
    </xf>
    <xf numFmtId="0" fontId="43" fillId="9" borderId="34" xfId="0" applyFont="1" applyFill="1" applyBorder="1" applyAlignment="1">
      <alignment horizontal="center" vertical="center"/>
    </xf>
    <xf numFmtId="0" fontId="43" fillId="9" borderId="51" xfId="0" applyFont="1" applyFill="1" applyBorder="1" applyAlignment="1">
      <alignment horizontal="center" vertical="center"/>
    </xf>
    <xf numFmtId="0" fontId="43" fillId="9" borderId="42" xfId="0" applyFont="1" applyFill="1" applyBorder="1" applyAlignment="1">
      <alignment horizontal="center" vertical="center"/>
    </xf>
    <xf numFmtId="0" fontId="43" fillId="9" borderId="45" xfId="0" applyFont="1" applyFill="1" applyBorder="1" applyAlignment="1">
      <alignment horizontal="center" vertical="center"/>
    </xf>
    <xf numFmtId="0" fontId="4" fillId="6" borderId="36" xfId="0" applyFont="1" applyFill="1" applyBorder="1" applyAlignment="1">
      <alignment horizontal="center"/>
    </xf>
    <xf numFmtId="0" fontId="4" fillId="6" borderId="9" xfId="0" applyFont="1" applyFill="1" applyBorder="1" applyAlignment="1">
      <alignment horizontal="center"/>
    </xf>
    <xf numFmtId="0" fontId="4" fillId="6" borderId="29" xfId="0" applyFont="1" applyFill="1" applyBorder="1" applyAlignment="1">
      <alignment horizontal="center"/>
    </xf>
    <xf numFmtId="0" fontId="4" fillId="6" borderId="18" xfId="0" applyFont="1" applyFill="1" applyBorder="1" applyAlignment="1">
      <alignment horizontal="center"/>
    </xf>
    <xf numFmtId="0" fontId="4" fillId="6" borderId="11" xfId="0" applyFont="1" applyFill="1" applyBorder="1" applyAlignment="1">
      <alignment horizontal="center"/>
    </xf>
    <xf numFmtId="0" fontId="20" fillId="8" borderId="4" xfId="0" applyFont="1" applyFill="1" applyBorder="1" applyAlignment="1">
      <alignment horizontal="center" vertical="center"/>
    </xf>
    <xf numFmtId="0" fontId="20" fillId="8" borderId="0" xfId="0" applyFont="1" applyFill="1" applyBorder="1" applyAlignment="1">
      <alignment horizontal="center" vertical="center"/>
    </xf>
    <xf numFmtId="0" fontId="20" fillId="8" borderId="5" xfId="0" applyFont="1" applyFill="1" applyBorder="1" applyAlignment="1">
      <alignment horizontal="center" vertical="center"/>
    </xf>
    <xf numFmtId="0" fontId="30" fillId="4" borderId="29" xfId="0" applyFont="1" applyFill="1" applyBorder="1" applyAlignment="1">
      <alignment horizontal="center" vertical="center" wrapText="1"/>
    </xf>
    <xf numFmtId="0" fontId="30" fillId="4" borderId="18" xfId="0" applyFont="1" applyFill="1" applyBorder="1" applyAlignment="1">
      <alignment horizontal="center" vertical="center" wrapText="1"/>
    </xf>
    <xf numFmtId="0" fontId="30" fillId="4" borderId="65" xfId="0" applyFont="1" applyFill="1" applyBorder="1" applyAlignment="1">
      <alignment horizontal="center" vertical="center" wrapText="1"/>
    </xf>
    <xf numFmtId="0" fontId="0" fillId="0" borderId="36" xfId="0" applyFill="1" applyBorder="1" applyAlignment="1">
      <alignment horizontal="center"/>
    </xf>
    <xf numFmtId="0" fontId="0" fillId="0" borderId="9" xfId="0" applyFill="1" applyBorder="1" applyAlignment="1">
      <alignment horizontal="center"/>
    </xf>
    <xf numFmtId="0" fontId="0" fillId="0" borderId="35" xfId="0" applyFill="1" applyBorder="1" applyAlignment="1">
      <alignment horizontal="center"/>
    </xf>
    <xf numFmtId="0" fontId="6" fillId="5" borderId="4"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23" xfId="0" applyFont="1" applyFill="1" applyBorder="1" applyAlignment="1">
      <alignment horizontal="left" vertical="center"/>
    </xf>
    <xf numFmtId="0" fontId="6" fillId="5" borderId="24" xfId="0" applyFont="1" applyFill="1" applyBorder="1" applyAlignment="1">
      <alignment horizontal="left" vertical="center"/>
    </xf>
    <xf numFmtId="0" fontId="6" fillId="5" borderId="25" xfId="0" applyFont="1" applyFill="1" applyBorder="1" applyAlignment="1">
      <alignment horizontal="left" vertical="center"/>
    </xf>
    <xf numFmtId="0" fontId="0" fillId="0" borderId="45" xfId="0" applyBorder="1" applyAlignment="1">
      <alignment horizontal="center"/>
    </xf>
    <xf numFmtId="0" fontId="20" fillId="9" borderId="68" xfId="0" applyFont="1" applyFill="1" applyBorder="1" applyAlignment="1">
      <alignment horizontal="center" vertical="center" wrapText="1"/>
    </xf>
    <xf numFmtId="0" fontId="20" fillId="9" borderId="2" xfId="0" applyFont="1" applyFill="1" applyBorder="1" applyAlignment="1">
      <alignment horizontal="center" vertical="center"/>
    </xf>
    <xf numFmtId="0" fontId="20" fillId="9" borderId="3" xfId="0" applyFont="1" applyFill="1" applyBorder="1" applyAlignment="1">
      <alignment horizontal="center" vertical="center"/>
    </xf>
    <xf numFmtId="0" fontId="20" fillId="9" borderId="57" xfId="0" applyFont="1" applyFill="1" applyBorder="1" applyAlignment="1">
      <alignment horizontal="center" vertical="center"/>
    </xf>
    <xf numFmtId="0" fontId="20" fillId="9" borderId="7" xfId="0" applyFont="1" applyFill="1" applyBorder="1" applyAlignment="1">
      <alignment horizontal="center" vertical="center"/>
    </xf>
    <xf numFmtId="0" fontId="20" fillId="9" borderId="8" xfId="0" applyFont="1" applyFill="1" applyBorder="1" applyAlignment="1">
      <alignment horizontal="center" vertical="center"/>
    </xf>
    <xf numFmtId="0" fontId="41" fillId="6" borderId="44" xfId="0" applyFont="1" applyFill="1" applyBorder="1" applyAlignment="1">
      <alignment horizontal="left" vertical="center"/>
    </xf>
    <xf numFmtId="0" fontId="41" fillId="6" borderId="41" xfId="0" applyFont="1" applyFill="1" applyBorder="1" applyAlignment="1">
      <alignment horizontal="left" vertical="center"/>
    </xf>
    <xf numFmtId="0" fontId="41" fillId="6" borderId="37" xfId="0" applyFont="1" applyFill="1" applyBorder="1" applyAlignment="1">
      <alignment horizontal="left" vertical="center"/>
    </xf>
    <xf numFmtId="0" fontId="41" fillId="6" borderId="28" xfId="0" applyFont="1" applyFill="1" applyBorder="1" applyAlignment="1">
      <alignment horizontal="left" vertical="center"/>
    </xf>
    <xf numFmtId="0" fontId="3" fillId="0" borderId="36" xfId="0" applyFont="1" applyFill="1" applyBorder="1" applyAlignment="1">
      <alignment horizontal="center" vertical="center" textRotation="90"/>
    </xf>
    <xf numFmtId="0" fontId="3" fillId="0" borderId="9" xfId="0" applyFont="1" applyFill="1" applyBorder="1" applyAlignment="1">
      <alignment horizontal="center" vertical="center" textRotation="90"/>
    </xf>
    <xf numFmtId="0" fontId="3" fillId="0" borderId="35" xfId="0" applyFont="1" applyFill="1" applyBorder="1" applyAlignment="1">
      <alignment horizontal="center" vertical="center" textRotation="90"/>
    </xf>
    <xf numFmtId="0" fontId="4" fillId="6" borderId="43" xfId="0" applyFont="1" applyFill="1" applyBorder="1" applyAlignment="1">
      <alignment horizontal="left" vertical="center" wrapText="1"/>
    </xf>
    <xf numFmtId="0" fontId="4" fillId="6" borderId="32" xfId="0" applyFont="1" applyFill="1" applyBorder="1" applyAlignment="1">
      <alignment horizontal="left" vertical="center" wrapText="1"/>
    </xf>
    <xf numFmtId="0" fontId="4" fillId="6" borderId="56"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4" fillId="6" borderId="26" xfId="0" applyFont="1" applyFill="1" applyBorder="1" applyAlignment="1">
      <alignment horizontal="left" vertical="center" wrapText="1"/>
    </xf>
    <xf numFmtId="0" fontId="4" fillId="6" borderId="21" xfId="0" applyFont="1" applyFill="1" applyBorder="1" applyAlignment="1">
      <alignment horizontal="left" vertical="center" wrapText="1"/>
    </xf>
    <xf numFmtId="2" fontId="15" fillId="4" borderId="45" xfId="0" applyNumberFormat="1" applyFont="1" applyFill="1" applyBorder="1" applyAlignment="1" applyProtection="1">
      <alignment horizontal="center" vertical="center"/>
      <protection locked="0"/>
    </xf>
    <xf numFmtId="2" fontId="15" fillId="4" borderId="50" xfId="0" applyNumberFormat="1" applyFont="1" applyFill="1" applyBorder="1" applyAlignment="1" applyProtection="1">
      <alignment horizontal="center" vertical="center"/>
      <protection locked="0"/>
    </xf>
    <xf numFmtId="2" fontId="15" fillId="4" borderId="52" xfId="0" applyNumberFormat="1" applyFont="1" applyFill="1" applyBorder="1" applyAlignment="1" applyProtection="1">
      <alignment horizontal="center" vertical="center"/>
      <protection locked="0"/>
    </xf>
    <xf numFmtId="0" fontId="4" fillId="6" borderId="29"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39" xfId="0" applyFont="1" applyFill="1" applyBorder="1" applyAlignment="1">
      <alignment horizontal="left" vertical="center" wrapText="1"/>
    </xf>
    <xf numFmtId="0" fontId="4" fillId="6" borderId="40" xfId="0" applyFont="1" applyFill="1" applyBorder="1" applyAlignment="1">
      <alignment horizontal="left" vertical="center" wrapText="1"/>
    </xf>
    <xf numFmtId="0" fontId="4" fillId="6" borderId="27" xfId="0" applyFont="1" applyFill="1" applyBorder="1" applyAlignment="1">
      <alignment horizontal="left" vertical="center" wrapText="1"/>
    </xf>
    <xf numFmtId="164" fontId="33" fillId="0" borderId="56" xfId="0" applyNumberFormat="1" applyFont="1" applyBorder="1" applyAlignment="1">
      <alignment horizontal="center" vertical="center"/>
    </xf>
    <xf numFmtId="0" fontId="4" fillId="6" borderId="57" xfId="0" applyFont="1" applyFill="1" applyBorder="1" applyAlignment="1">
      <alignment horizontal="left" vertical="center" wrapText="1"/>
    </xf>
    <xf numFmtId="0" fontId="4" fillId="6" borderId="53" xfId="0" applyFont="1" applyFill="1" applyBorder="1" applyAlignment="1">
      <alignment horizontal="left" vertical="center" wrapText="1"/>
    </xf>
    <xf numFmtId="0" fontId="32" fillId="5" borderId="68" xfId="0" applyFont="1" applyFill="1" applyBorder="1" applyAlignment="1">
      <alignment horizontal="center" vertical="center"/>
    </xf>
    <xf numFmtId="0" fontId="32" fillId="5" borderId="69" xfId="0" applyFont="1" applyFill="1" applyBorder="1" applyAlignment="1">
      <alignment horizontal="center" vertical="center"/>
    </xf>
    <xf numFmtId="0" fontId="32" fillId="5" borderId="57" xfId="0" applyFont="1" applyFill="1" applyBorder="1" applyAlignment="1">
      <alignment horizontal="center" vertical="center"/>
    </xf>
    <xf numFmtId="0" fontId="32" fillId="5" borderId="53" xfId="0" applyFont="1" applyFill="1" applyBorder="1" applyAlignment="1">
      <alignment horizontal="center" vertical="center"/>
    </xf>
    <xf numFmtId="2" fontId="15" fillId="4" borderId="42" xfId="0" applyNumberFormat="1" applyFont="1" applyFill="1" applyBorder="1" applyAlignment="1" applyProtection="1">
      <alignment horizontal="center" vertical="center"/>
      <protection locked="0"/>
    </xf>
    <xf numFmtId="2" fontId="15" fillId="4" borderId="71" xfId="0" applyNumberFormat="1" applyFont="1" applyFill="1" applyBorder="1" applyAlignment="1" applyProtection="1">
      <alignment horizontal="center" vertical="center"/>
      <protection locked="0"/>
    </xf>
    <xf numFmtId="2" fontId="15" fillId="4" borderId="67" xfId="0" applyNumberFormat="1" applyFont="1" applyFill="1" applyBorder="1" applyAlignment="1" applyProtection="1">
      <alignment horizontal="center" vertical="center"/>
      <protection locked="0"/>
    </xf>
    <xf numFmtId="0" fontId="2" fillId="5" borderId="23" xfId="0" applyFont="1" applyFill="1" applyBorder="1" applyAlignment="1">
      <alignment horizontal="center" vertical="center" textRotation="90"/>
    </xf>
    <xf numFmtId="0" fontId="2" fillId="5" borderId="39" xfId="0" applyFont="1" applyFill="1" applyBorder="1" applyAlignment="1">
      <alignment horizontal="center" vertical="center" textRotation="90"/>
    </xf>
    <xf numFmtId="0" fontId="6" fillId="5" borderId="44" xfId="0" applyFont="1" applyFill="1" applyBorder="1" applyAlignment="1">
      <alignment horizontal="center"/>
    </xf>
    <xf numFmtId="0" fontId="6" fillId="5" borderId="41" xfId="0" applyFont="1" applyFill="1" applyBorder="1" applyAlignment="1">
      <alignment horizontal="center"/>
    </xf>
    <xf numFmtId="0" fontId="6" fillId="5" borderId="58" xfId="0" applyFont="1" applyFill="1" applyBorder="1" applyAlignment="1">
      <alignment horizontal="center"/>
    </xf>
    <xf numFmtId="0" fontId="32" fillId="5" borderId="1" xfId="0" applyFont="1" applyFill="1" applyBorder="1" applyAlignment="1">
      <alignment horizontal="center" vertical="center"/>
    </xf>
    <xf numFmtId="0" fontId="32" fillId="5" borderId="6" xfId="0" applyFont="1" applyFill="1" applyBorder="1" applyAlignment="1">
      <alignment horizontal="center" vertical="center"/>
    </xf>
    <xf numFmtId="0" fontId="0" fillId="0" borderId="1" xfId="0" applyBorder="1" applyAlignment="1">
      <alignment horizontal="center" vertical="center"/>
    </xf>
    <xf numFmtId="0" fontId="0" fillId="0" borderId="69" xfId="0" applyBorder="1" applyAlignment="1">
      <alignment horizontal="center" vertical="center"/>
    </xf>
    <xf numFmtId="0" fontId="0" fillId="0" borderId="6" xfId="0" applyBorder="1" applyAlignment="1">
      <alignment horizontal="center" vertical="center"/>
    </xf>
    <xf numFmtId="0" fontId="0" fillId="0" borderId="53" xfId="0" applyBorder="1" applyAlignment="1">
      <alignment horizontal="center" vertical="center"/>
    </xf>
    <xf numFmtId="0" fontId="4" fillId="6" borderId="30"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33" xfId="0" applyFont="1" applyFill="1" applyBorder="1" applyAlignment="1">
      <alignment horizontal="left" vertical="center" wrapText="1"/>
    </xf>
    <xf numFmtId="2" fontId="15" fillId="4" borderId="17" xfId="0" applyNumberFormat="1" applyFont="1" applyFill="1" applyBorder="1" applyAlignment="1" applyProtection="1">
      <alignment horizontal="center" vertical="center"/>
      <protection locked="0"/>
    </xf>
    <xf numFmtId="0" fontId="28" fillId="4" borderId="4"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28" fillId="4" borderId="5" xfId="0" applyFont="1" applyFill="1" applyBorder="1" applyAlignment="1">
      <alignment horizontal="left" vertical="center" wrapText="1"/>
    </xf>
    <xf numFmtId="0" fontId="28" fillId="4" borderId="30" xfId="0" applyFont="1" applyFill="1" applyBorder="1" applyAlignment="1">
      <alignment horizontal="left" vertical="center"/>
    </xf>
    <xf numFmtId="0" fontId="28" fillId="4" borderId="31" xfId="0" applyFont="1" applyFill="1" applyBorder="1" applyAlignment="1">
      <alignment horizontal="left" vertical="center"/>
    </xf>
    <xf numFmtId="0" fontId="28" fillId="4" borderId="61" xfId="0" applyFont="1" applyFill="1" applyBorder="1" applyAlignment="1">
      <alignment horizontal="left" vertical="center"/>
    </xf>
    <xf numFmtId="0" fontId="28" fillId="4" borderId="4" xfId="0" applyFont="1" applyFill="1" applyBorder="1" applyAlignment="1">
      <alignment horizontal="left" vertical="center"/>
    </xf>
    <xf numFmtId="0" fontId="28" fillId="4" borderId="0" xfId="0" applyFont="1" applyFill="1" applyBorder="1" applyAlignment="1">
      <alignment horizontal="left" vertical="center"/>
    </xf>
    <xf numFmtId="0" fontId="28" fillId="4" borderId="5" xfId="0" applyFont="1" applyFill="1" applyBorder="1" applyAlignment="1">
      <alignment horizontal="left" vertical="center"/>
    </xf>
    <xf numFmtId="0" fontId="28" fillId="4" borderId="33" xfId="0" applyFont="1" applyFill="1" applyBorder="1" applyAlignment="1">
      <alignment horizontal="left" vertical="center"/>
    </xf>
    <xf numFmtId="0" fontId="28" fillId="4" borderId="13" xfId="0" applyFont="1" applyFill="1" applyBorder="1" applyAlignment="1">
      <alignment horizontal="left" vertical="center"/>
    </xf>
    <xf numFmtId="0" fontId="28" fillId="4" borderId="48" xfId="0" applyFont="1" applyFill="1" applyBorder="1" applyAlignment="1">
      <alignment horizontal="left" vertical="center"/>
    </xf>
    <xf numFmtId="0" fontId="19" fillId="0" borderId="69"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4" fillId="6" borderId="31" xfId="0" applyFont="1" applyFill="1" applyBorder="1" applyAlignment="1">
      <alignment horizontal="left" vertical="center" wrapText="1"/>
    </xf>
    <xf numFmtId="0" fontId="4" fillId="6" borderId="13" xfId="0" applyFont="1" applyFill="1" applyBorder="1" applyAlignment="1">
      <alignment horizontal="left" vertical="center" wrapText="1"/>
    </xf>
    <xf numFmtId="0" fontId="13" fillId="7" borderId="45"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3" fillId="0" borderId="4" xfId="0" applyFont="1" applyFill="1" applyBorder="1" applyAlignment="1">
      <alignment horizontal="center" vertical="center" textRotation="90"/>
    </xf>
    <xf numFmtId="0" fontId="3" fillId="0" borderId="0" xfId="0" applyFont="1" applyFill="1" applyBorder="1" applyAlignment="1">
      <alignment horizontal="center" vertical="center" textRotation="90"/>
    </xf>
    <xf numFmtId="0" fontId="3" fillId="0" borderId="5" xfId="0" applyFont="1" applyFill="1" applyBorder="1" applyAlignment="1">
      <alignment horizontal="center" vertical="center" textRotation="90"/>
    </xf>
    <xf numFmtId="0" fontId="3" fillId="0" borderId="33" xfId="0" applyFont="1" applyFill="1" applyBorder="1" applyAlignment="1">
      <alignment horizontal="center" vertical="center" textRotation="90"/>
    </xf>
    <xf numFmtId="0" fontId="3" fillId="0" borderId="13" xfId="0" applyFont="1" applyFill="1" applyBorder="1" applyAlignment="1">
      <alignment horizontal="center" vertical="center" textRotation="90"/>
    </xf>
    <xf numFmtId="0" fontId="3" fillId="0" borderId="48" xfId="0" applyFont="1" applyFill="1" applyBorder="1" applyAlignment="1">
      <alignment horizontal="center" vertical="center" textRotation="90"/>
    </xf>
    <xf numFmtId="0" fontId="4" fillId="6" borderId="37" xfId="0" applyFont="1" applyFill="1" applyBorder="1" applyAlignment="1">
      <alignment horizontal="left" vertical="center" wrapText="1"/>
    </xf>
    <xf numFmtId="0" fontId="4" fillId="6" borderId="28" xfId="0" applyFont="1" applyFill="1" applyBorder="1" applyAlignment="1">
      <alignment horizontal="left" vertical="center" wrapText="1"/>
    </xf>
    <xf numFmtId="2" fontId="15" fillId="4" borderId="38" xfId="0" applyNumberFormat="1" applyFont="1" applyFill="1" applyBorder="1" applyAlignment="1">
      <alignment horizontal="center" vertical="center"/>
    </xf>
    <xf numFmtId="0" fontId="4" fillId="6" borderId="6" xfId="0" applyFont="1" applyFill="1" applyBorder="1" applyAlignment="1">
      <alignment horizontal="left" vertical="center" wrapText="1"/>
    </xf>
    <xf numFmtId="2" fontId="15" fillId="4" borderId="47" xfId="0" applyNumberFormat="1" applyFont="1" applyFill="1" applyBorder="1" applyAlignment="1" applyProtection="1">
      <alignment horizontal="center" vertical="center"/>
      <protection locked="0"/>
    </xf>
    <xf numFmtId="2" fontId="33" fillId="0" borderId="17" xfId="0" applyNumberFormat="1" applyFont="1" applyBorder="1" applyAlignment="1">
      <alignment horizontal="center" vertical="center"/>
    </xf>
    <xf numFmtId="0" fontId="33" fillId="0" borderId="17" xfId="0" applyFont="1" applyBorder="1" applyAlignment="1">
      <alignment horizontal="center" vertical="center"/>
    </xf>
    <xf numFmtId="0" fontId="33" fillId="0" borderId="28" xfId="0" applyFont="1" applyBorder="1" applyAlignment="1">
      <alignment horizontal="center" vertical="center"/>
    </xf>
    <xf numFmtId="0" fontId="33" fillId="0" borderId="56" xfId="0" applyFont="1" applyBorder="1" applyAlignment="1">
      <alignment horizontal="center" vertical="center"/>
    </xf>
    <xf numFmtId="0" fontId="33" fillId="0" borderId="12" xfId="0" applyFont="1" applyBorder="1" applyAlignment="1">
      <alignment horizontal="center" vertical="center"/>
    </xf>
    <xf numFmtId="0" fontId="33" fillId="0" borderId="57" xfId="0" applyFont="1" applyBorder="1" applyAlignment="1">
      <alignment horizontal="center" vertical="center"/>
    </xf>
    <xf numFmtId="0" fontId="33" fillId="0" borderId="53" xfId="0" applyFont="1" applyBorder="1" applyAlignment="1">
      <alignment horizontal="center" vertical="center"/>
    </xf>
    <xf numFmtId="0" fontId="33" fillId="0" borderId="72" xfId="0" applyFont="1" applyBorder="1" applyAlignment="1">
      <alignment horizontal="center" vertical="center"/>
    </xf>
    <xf numFmtId="0" fontId="33" fillId="0" borderId="67" xfId="0" applyFont="1" applyBorder="1" applyAlignment="1">
      <alignment horizontal="center" vertical="center"/>
    </xf>
    <xf numFmtId="2" fontId="33" fillId="0" borderId="68" xfId="0" applyNumberFormat="1" applyFont="1" applyBorder="1" applyAlignment="1">
      <alignment horizontal="center" vertical="center"/>
    </xf>
    <xf numFmtId="2" fontId="33" fillId="0" borderId="2" xfId="0" applyNumberFormat="1" applyFont="1" applyBorder="1" applyAlignment="1">
      <alignment horizontal="center" vertical="center"/>
    </xf>
    <xf numFmtId="2" fontId="33" fillId="0" borderId="3" xfId="0" applyNumberFormat="1" applyFont="1" applyBorder="1" applyAlignment="1">
      <alignment horizontal="center" vertical="center"/>
    </xf>
    <xf numFmtId="2" fontId="33" fillId="0" borderId="57" xfId="0" applyNumberFormat="1" applyFont="1" applyBorder="1" applyAlignment="1">
      <alignment horizontal="center" vertical="center"/>
    </xf>
    <xf numFmtId="2" fontId="33" fillId="0" borderId="7" xfId="0" applyNumberFormat="1" applyFont="1" applyBorder="1" applyAlignment="1">
      <alignment horizontal="center" vertical="center"/>
    </xf>
    <xf numFmtId="2" fontId="33" fillId="0" borderId="8" xfId="0" applyNumberFormat="1" applyFont="1" applyBorder="1" applyAlignment="1">
      <alignment horizontal="center" vertical="center"/>
    </xf>
    <xf numFmtId="0" fontId="32" fillId="5" borderId="2" xfId="0" applyFont="1" applyFill="1" applyBorder="1" applyAlignment="1">
      <alignment horizontal="center" vertical="center"/>
    </xf>
    <xf numFmtId="0" fontId="32" fillId="5" borderId="7" xfId="0" applyFont="1" applyFill="1" applyBorder="1" applyAlignment="1">
      <alignment horizontal="center" vertical="center"/>
    </xf>
    <xf numFmtId="0" fontId="32" fillId="5" borderId="41"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5" borderId="3" xfId="0" applyFont="1" applyFill="1" applyBorder="1" applyAlignment="1">
      <alignment horizontal="center" vertical="center"/>
    </xf>
    <xf numFmtId="0" fontId="32" fillId="5" borderId="8" xfId="0" applyFont="1" applyFill="1" applyBorder="1" applyAlignment="1">
      <alignment horizontal="center" vertical="center"/>
    </xf>
    <xf numFmtId="0" fontId="36" fillId="0" borderId="44" xfId="0" applyFont="1" applyBorder="1" applyAlignment="1">
      <alignment horizontal="center" vertical="center"/>
    </xf>
    <xf numFmtId="0" fontId="36" fillId="0" borderId="36" xfId="0" applyFont="1" applyBorder="1" applyAlignment="1">
      <alignment horizontal="center" vertical="center"/>
    </xf>
    <xf numFmtId="0" fontId="36" fillId="0" borderId="37" xfId="0" applyFont="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62"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16" fillId="0" borderId="23"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44" xfId="0" applyFont="1" applyBorder="1" applyAlignment="1">
      <alignment horizontal="center"/>
    </xf>
    <xf numFmtId="0" fontId="16" fillId="0" borderId="41" xfId="0" applyFont="1" applyBorder="1" applyAlignment="1">
      <alignment horizontal="center"/>
    </xf>
    <xf numFmtId="0" fontId="16" fillId="0" borderId="34" xfId="0" applyFont="1" applyBorder="1" applyAlignment="1">
      <alignment horizontal="center"/>
    </xf>
    <xf numFmtId="0" fontId="18" fillId="8" borderId="44" xfId="0" applyFont="1" applyFill="1" applyBorder="1" applyAlignment="1">
      <alignment horizontal="center" vertical="center"/>
    </xf>
    <xf numFmtId="0" fontId="18" fillId="8" borderId="41" xfId="0" applyFont="1" applyFill="1" applyBorder="1" applyAlignment="1">
      <alignment horizontal="center" vertical="center"/>
    </xf>
    <xf numFmtId="0" fontId="18" fillId="8" borderId="34" xfId="0" applyFont="1" applyFill="1" applyBorder="1" applyAlignment="1">
      <alignment horizontal="center" vertical="center"/>
    </xf>
    <xf numFmtId="0" fontId="18" fillId="8" borderId="24" xfId="0" applyFont="1" applyFill="1" applyBorder="1" applyAlignment="1">
      <alignment horizontal="center" vertical="center"/>
    </xf>
    <xf numFmtId="0" fontId="18" fillId="8" borderId="25" xfId="0" applyFont="1" applyFill="1" applyBorder="1" applyAlignment="1">
      <alignment horizontal="center" vertical="center"/>
    </xf>
    <xf numFmtId="0" fontId="21" fillId="8" borderId="23" xfId="0" applyFont="1" applyFill="1" applyBorder="1" applyAlignment="1">
      <alignment horizontal="center"/>
    </xf>
    <xf numFmtId="0" fontId="21" fillId="8" borderId="24" xfId="0" applyFont="1" applyFill="1" applyBorder="1" applyAlignment="1">
      <alignment horizontal="center"/>
    </xf>
    <xf numFmtId="0" fontId="21" fillId="8" borderId="25" xfId="0" applyFont="1" applyFill="1" applyBorder="1" applyAlignment="1">
      <alignment horizontal="center"/>
    </xf>
    <xf numFmtId="0" fontId="18" fillId="8" borderId="1" xfId="0" applyFont="1" applyFill="1" applyBorder="1" applyAlignment="1">
      <alignment horizontal="center"/>
    </xf>
    <xf numFmtId="0" fontId="18" fillId="8" borderId="2" xfId="0" applyFont="1" applyFill="1" applyBorder="1" applyAlignment="1">
      <alignment horizontal="center"/>
    </xf>
    <xf numFmtId="0" fontId="18" fillId="8" borderId="3" xfId="0" applyFont="1" applyFill="1" applyBorder="1" applyAlignment="1">
      <alignment horizontal="center"/>
    </xf>
    <xf numFmtId="0" fontId="18" fillId="8" borderId="0" xfId="0" applyFont="1" applyFill="1" applyBorder="1" applyAlignment="1">
      <alignment horizontal="center"/>
    </xf>
    <xf numFmtId="0" fontId="18" fillId="8" borderId="41" xfId="0" applyFont="1" applyFill="1" applyBorder="1" applyAlignment="1">
      <alignment horizontal="center"/>
    </xf>
    <xf numFmtId="0" fontId="18" fillId="8" borderId="34" xfId="0" applyFont="1" applyFill="1" applyBorder="1" applyAlignment="1">
      <alignment horizontal="center"/>
    </xf>
    <xf numFmtId="0" fontId="18" fillId="8" borderId="24" xfId="0" applyFont="1" applyFill="1" applyBorder="1" applyAlignment="1">
      <alignment horizontal="center"/>
    </xf>
    <xf numFmtId="0" fontId="18" fillId="8" borderId="25" xfId="0" applyFont="1" applyFill="1" applyBorder="1" applyAlignment="1">
      <alignment horizontal="center"/>
    </xf>
    <xf numFmtId="0" fontId="27" fillId="10" borderId="9" xfId="0" applyFont="1" applyFill="1" applyBorder="1" applyAlignment="1">
      <alignment horizontal="center"/>
    </xf>
    <xf numFmtId="0" fontId="0" fillId="0" borderId="0" xfId="0" applyBorder="1" applyAlignment="1">
      <alignment horizontal="center" vertical="center"/>
    </xf>
    <xf numFmtId="0" fontId="27" fillId="10" borderId="23" xfId="0" applyFont="1" applyFill="1" applyBorder="1" applyAlignment="1">
      <alignment horizontal="center"/>
    </xf>
    <xf numFmtId="0" fontId="27" fillId="10" borderId="24" xfId="0" applyFont="1" applyFill="1" applyBorder="1" applyAlignment="1">
      <alignment horizontal="center"/>
    </xf>
    <xf numFmtId="0" fontId="27" fillId="10" borderId="25" xfId="0" applyFont="1" applyFill="1" applyBorder="1" applyAlignment="1">
      <alignment horizontal="center"/>
    </xf>
    <xf numFmtId="0" fontId="18" fillId="8" borderId="63" xfId="0" applyFont="1" applyFill="1" applyBorder="1" applyAlignment="1">
      <alignment horizontal="center" vertical="center"/>
    </xf>
    <xf numFmtId="0" fontId="18" fillId="8" borderId="64" xfId="0" applyFont="1" applyFill="1" applyBorder="1" applyAlignment="1">
      <alignment horizontal="center" vertical="center"/>
    </xf>
    <xf numFmtId="0" fontId="18" fillId="8" borderId="19" xfId="0" applyFont="1" applyFill="1" applyBorder="1" applyAlignment="1">
      <alignment horizontal="center" vertical="center"/>
    </xf>
    <xf numFmtId="0" fontId="18" fillId="8" borderId="20" xfId="0" applyFont="1" applyFill="1" applyBorder="1" applyAlignment="1">
      <alignment horizontal="center" vertical="center"/>
    </xf>
    <xf numFmtId="0" fontId="18" fillId="8" borderId="23" xfId="0" applyFont="1" applyFill="1" applyBorder="1" applyAlignment="1">
      <alignment horizontal="center" vertical="center" wrapText="1"/>
    </xf>
    <xf numFmtId="0" fontId="18" fillId="8" borderId="24" xfId="0" applyFont="1" applyFill="1" applyBorder="1" applyAlignment="1">
      <alignment horizontal="center" vertical="center" wrapText="1"/>
    </xf>
    <xf numFmtId="0" fontId="18" fillId="8" borderId="25" xfId="0" applyFont="1" applyFill="1" applyBorder="1" applyAlignment="1">
      <alignment horizontal="center" vertical="center" wrapText="1"/>
    </xf>
    <xf numFmtId="0" fontId="0" fillId="0" borderId="40" xfId="0" applyBorder="1" applyAlignment="1">
      <alignment horizontal="center" vertical="center"/>
    </xf>
    <xf numFmtId="0" fontId="0" fillId="0" borderId="60" xfId="0" applyBorder="1" applyAlignment="1">
      <alignment horizontal="center" vertical="center"/>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8" fillId="0" borderId="0" xfId="0" applyFont="1" applyAlignment="1">
      <alignment horizontal="center"/>
    </xf>
    <xf numFmtId="0" fontId="0" fillId="0" borderId="44" xfId="0" applyBorder="1" applyAlignment="1">
      <alignment horizontal="center" vertical="center"/>
    </xf>
    <xf numFmtId="0" fontId="0" fillId="0" borderId="37" xfId="0" applyBorder="1" applyAlignment="1">
      <alignment horizontal="center" vertical="center"/>
    </xf>
  </cellXfs>
  <cellStyles count="1">
    <cellStyle name="Normal" xfId="0" builtinId="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0000"/>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338809969677849E-2"/>
          <c:y val="4.4255178645578486E-2"/>
          <c:w val="0.77424467042277623"/>
          <c:h val="0.771363413664236"/>
        </c:manualLayout>
      </c:layout>
      <c:scatterChart>
        <c:scatterStyle val="smoothMarker"/>
        <c:varyColors val="0"/>
        <c:ser>
          <c:idx val="0"/>
          <c:order val="0"/>
          <c:tx>
            <c:v>SL_Sus</c:v>
          </c:tx>
          <c:marker>
            <c:symbol val="none"/>
          </c:marker>
          <c:xVal>
            <c:numRef>
              <c:f>Trunnion!$A$4:$A$151</c:f>
              <c:numCache>
                <c:formatCode>General</c:formatCode>
                <c:ptCount val="148"/>
                <c:pt idx="0">
                  <c:v>355.6</c:v>
                </c:pt>
                <c:pt idx="1">
                  <c:v>360.6</c:v>
                </c:pt>
                <c:pt idx="2">
                  <c:v>365.6</c:v>
                </c:pt>
                <c:pt idx="3">
                  <c:v>370.6</c:v>
                </c:pt>
                <c:pt idx="4">
                  <c:v>375.6</c:v>
                </c:pt>
                <c:pt idx="5">
                  <c:v>380.6</c:v>
                </c:pt>
                <c:pt idx="6">
                  <c:v>385.6</c:v>
                </c:pt>
                <c:pt idx="7">
                  <c:v>390.6</c:v>
                </c:pt>
                <c:pt idx="8">
                  <c:v>395.6</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numCache>
            </c:numRef>
          </c:xVal>
          <c:yVal>
            <c:numRef>
              <c:f>Trunnion!$F$4:$F$151</c:f>
              <c:numCache>
                <c:formatCode>General</c:formatCode>
                <c:ptCount val="1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numCache>
            </c:numRef>
          </c:yVal>
          <c:smooth val="1"/>
        </c:ser>
        <c:ser>
          <c:idx val="1"/>
          <c:order val="1"/>
          <c:tx>
            <c:v>SC_SUS</c:v>
          </c:tx>
          <c:marker>
            <c:symbol val="none"/>
          </c:marker>
          <c:xVal>
            <c:numRef>
              <c:f>Trunnion!$A$4:$A$151</c:f>
              <c:numCache>
                <c:formatCode>General</c:formatCode>
                <c:ptCount val="148"/>
                <c:pt idx="0">
                  <c:v>355.6</c:v>
                </c:pt>
                <c:pt idx="1">
                  <c:v>360.6</c:v>
                </c:pt>
                <c:pt idx="2">
                  <c:v>365.6</c:v>
                </c:pt>
                <c:pt idx="3">
                  <c:v>370.6</c:v>
                </c:pt>
                <c:pt idx="4">
                  <c:v>375.6</c:v>
                </c:pt>
                <c:pt idx="5">
                  <c:v>380.6</c:v>
                </c:pt>
                <c:pt idx="6">
                  <c:v>385.6</c:v>
                </c:pt>
                <c:pt idx="7">
                  <c:v>390.6</c:v>
                </c:pt>
                <c:pt idx="8">
                  <c:v>395.6</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numCache>
            </c:numRef>
          </c:xVal>
          <c:yVal>
            <c:numRef>
              <c:f>Trunnion!$G$4:$G$151</c:f>
              <c:numCache>
                <c:formatCode>General</c:formatCode>
                <c:ptCount val="1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numCache>
            </c:numRef>
          </c:yVal>
          <c:smooth val="1"/>
        </c:ser>
        <c:ser>
          <c:idx val="2"/>
          <c:order val="2"/>
          <c:tx>
            <c:v>SL_EXP</c:v>
          </c:tx>
          <c:marker>
            <c:symbol val="none"/>
          </c:marker>
          <c:xVal>
            <c:numRef>
              <c:f>Trunnion!$A$4:$A$151</c:f>
              <c:numCache>
                <c:formatCode>General</c:formatCode>
                <c:ptCount val="148"/>
                <c:pt idx="0">
                  <c:v>355.6</c:v>
                </c:pt>
                <c:pt idx="1">
                  <c:v>360.6</c:v>
                </c:pt>
                <c:pt idx="2">
                  <c:v>365.6</c:v>
                </c:pt>
                <c:pt idx="3">
                  <c:v>370.6</c:v>
                </c:pt>
                <c:pt idx="4">
                  <c:v>375.6</c:v>
                </c:pt>
                <c:pt idx="5">
                  <c:v>380.6</c:v>
                </c:pt>
                <c:pt idx="6">
                  <c:v>385.6</c:v>
                </c:pt>
                <c:pt idx="7">
                  <c:v>390.6</c:v>
                </c:pt>
                <c:pt idx="8">
                  <c:v>395.6</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numCache>
            </c:numRef>
          </c:xVal>
          <c:yVal>
            <c:numRef>
              <c:f>Trunnion!$L$4:$L$151</c:f>
              <c:numCache>
                <c:formatCode>General</c:formatCode>
                <c:ptCount val="148"/>
                <c:pt idx="0">
                  <c:v>10.943732195509202</c:v>
                </c:pt>
                <c:pt idx="1">
                  <c:v>10.683633038795184</c:v>
                </c:pt>
                <c:pt idx="2">
                  <c:v>10.43357143811957</c:v>
                </c:pt>
                <c:pt idx="3">
                  <c:v>10.193024402528643</c:v>
                </c:pt>
                <c:pt idx="4">
                  <c:v>9.9615029218444917</c:v>
                </c:pt>
                <c:pt idx="5">
                  <c:v>9.7385493370870844</c:v>
                </c:pt>
                <c:pt idx="6">
                  <c:v>9.5237349460063871</c:v>
                </c:pt>
                <c:pt idx="7">
                  <c:v>9.3166578199570171</c:v>
                </c:pt>
                <c:pt idx="8">
                  <c:v>9.1169408110205836</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numCache>
            </c:numRef>
          </c:yVal>
          <c:smooth val="1"/>
        </c:ser>
        <c:ser>
          <c:idx val="3"/>
          <c:order val="3"/>
          <c:tx>
            <c:v>SC_EXP</c:v>
          </c:tx>
          <c:marker>
            <c:symbol val="none"/>
          </c:marker>
          <c:xVal>
            <c:numRef>
              <c:f>Trunnion!$A$4:$A$151</c:f>
              <c:numCache>
                <c:formatCode>General</c:formatCode>
                <c:ptCount val="148"/>
                <c:pt idx="0">
                  <c:v>355.6</c:v>
                </c:pt>
                <c:pt idx="1">
                  <c:v>360.6</c:v>
                </c:pt>
                <c:pt idx="2">
                  <c:v>365.6</c:v>
                </c:pt>
                <c:pt idx="3">
                  <c:v>370.6</c:v>
                </c:pt>
                <c:pt idx="4">
                  <c:v>375.6</c:v>
                </c:pt>
                <c:pt idx="5">
                  <c:v>380.6</c:v>
                </c:pt>
                <c:pt idx="6">
                  <c:v>385.6</c:v>
                </c:pt>
                <c:pt idx="7">
                  <c:v>390.6</c:v>
                </c:pt>
                <c:pt idx="8">
                  <c:v>395.6</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numCache>
            </c:numRef>
          </c:xVal>
          <c:yVal>
            <c:numRef>
              <c:f>Trunnion!$M$4:$M$151</c:f>
              <c:numCache>
                <c:formatCode>General</c:formatCode>
                <c:ptCount val="148"/>
                <c:pt idx="0">
                  <c:v>6.0143758988995035</c:v>
                </c:pt>
                <c:pt idx="1">
                  <c:v>5.8714325161925673</c:v>
                </c:pt>
                <c:pt idx="2">
                  <c:v>5.7340054997528931</c:v>
                </c:pt>
                <c:pt idx="3">
                  <c:v>5.6018074280563397</c:v>
                </c:pt>
                <c:pt idx="4">
                  <c:v>5.4745695544837671</c:v>
                </c:pt>
                <c:pt idx="5">
                  <c:v>5.3520403621769201</c:v>
                </c:pt>
                <c:pt idx="6">
                  <c:v>5.2339842481043668</c:v>
                </c:pt>
                <c:pt idx="7">
                  <c:v>5.1201803232755223</c:v>
                </c:pt>
                <c:pt idx="8">
                  <c:v>5.0104213175096035</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numCache>
            </c:numRef>
          </c:yVal>
          <c:smooth val="1"/>
        </c:ser>
        <c:dLbls>
          <c:showLegendKey val="0"/>
          <c:showVal val="0"/>
          <c:showCatName val="0"/>
          <c:showSerName val="0"/>
          <c:showPercent val="0"/>
          <c:showBubbleSize val="0"/>
        </c:dLbls>
        <c:axId val="280689600"/>
        <c:axId val="281277320"/>
      </c:scatterChart>
      <c:valAx>
        <c:axId val="280689600"/>
        <c:scaling>
          <c:orientation val="minMax"/>
        </c:scaling>
        <c:delete val="0"/>
        <c:axPos val="b"/>
        <c:title>
          <c:tx>
            <c:rich>
              <a:bodyPr/>
              <a:lstStyle/>
              <a:p>
                <a:pPr>
                  <a:defRPr/>
                </a:pPr>
                <a:r>
                  <a:rPr lang="en-US"/>
                  <a:t>Trunnion Diameter (mm)</a:t>
                </a:r>
              </a:p>
            </c:rich>
          </c:tx>
          <c:layout/>
          <c:overlay val="0"/>
        </c:title>
        <c:numFmt formatCode="General" sourceLinked="1"/>
        <c:majorTickMark val="out"/>
        <c:minorTickMark val="none"/>
        <c:tickLblPos val="nextTo"/>
        <c:crossAx val="281277320"/>
        <c:crosses val="autoZero"/>
        <c:crossBetween val="midCat"/>
      </c:valAx>
      <c:valAx>
        <c:axId val="281277320"/>
        <c:scaling>
          <c:orientation val="minMax"/>
        </c:scaling>
        <c:delete val="0"/>
        <c:axPos val="l"/>
        <c:majorGridlines>
          <c:spPr>
            <a:ln>
              <a:noFill/>
            </a:ln>
          </c:spPr>
        </c:majorGridlines>
        <c:title>
          <c:tx>
            <c:rich>
              <a:bodyPr rot="-5400000" vert="horz"/>
              <a:lstStyle/>
              <a:p>
                <a:pPr>
                  <a:defRPr/>
                </a:pPr>
                <a:r>
                  <a:rPr lang="en-US"/>
                  <a:t>Local Stress (MPa)</a:t>
                </a:r>
              </a:p>
            </c:rich>
          </c:tx>
          <c:layout>
            <c:manualLayout>
              <c:xMode val="edge"/>
              <c:yMode val="edge"/>
              <c:x val="1.2720044973729316E-2"/>
              <c:y val="0.2795531734122424"/>
            </c:manualLayout>
          </c:layout>
          <c:overlay val="0"/>
        </c:title>
        <c:numFmt formatCode="General" sourceLinked="1"/>
        <c:majorTickMark val="out"/>
        <c:minorTickMark val="none"/>
        <c:tickLblPos val="nextTo"/>
        <c:crossAx val="28068960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571246845224808E-2"/>
          <c:y val="5.2227275052705288E-2"/>
          <c:w val="0.75249342412270492"/>
          <c:h val="0.78015280688412492"/>
        </c:manualLayout>
      </c:layout>
      <c:scatterChart>
        <c:scatterStyle val="smoothMarker"/>
        <c:varyColors val="0"/>
        <c:ser>
          <c:idx val="0"/>
          <c:order val="0"/>
          <c:tx>
            <c:v>SL_SUS</c:v>
          </c:tx>
          <c:marker>
            <c:symbol val="none"/>
          </c:marker>
          <c:xVal>
            <c:numRef>
              <c:f>'Structure A'!$A$4:$A$151</c:f>
              <c:numCache>
                <c:formatCode>General</c:formatCode>
                <c:ptCount val="148"/>
                <c:pt idx="0">
                  <c:v>210</c:v>
                </c:pt>
                <c:pt idx="1">
                  <c:v>211</c:v>
                </c:pt>
                <c:pt idx="2">
                  <c:v>212</c:v>
                </c:pt>
                <c:pt idx="3">
                  <c:v>213</c:v>
                </c:pt>
                <c:pt idx="4">
                  <c:v>214</c:v>
                </c:pt>
                <c:pt idx="5">
                  <c:v>215</c:v>
                </c:pt>
                <c:pt idx="6">
                  <c:v>216</c:v>
                </c:pt>
                <c:pt idx="7">
                  <c:v>217</c:v>
                </c:pt>
                <c:pt idx="8">
                  <c:v>218</c:v>
                </c:pt>
                <c:pt idx="9">
                  <c:v>219</c:v>
                </c:pt>
                <c:pt idx="10">
                  <c:v>220</c:v>
                </c:pt>
                <c:pt idx="11">
                  <c:v>221</c:v>
                </c:pt>
                <c:pt idx="12">
                  <c:v>222</c:v>
                </c:pt>
                <c:pt idx="13">
                  <c:v>223</c:v>
                </c:pt>
                <c:pt idx="14">
                  <c:v>224</c:v>
                </c:pt>
                <c:pt idx="15">
                  <c:v>225</c:v>
                </c:pt>
                <c:pt idx="16">
                  <c:v>226</c:v>
                </c:pt>
                <c:pt idx="17">
                  <c:v>227</c:v>
                </c:pt>
                <c:pt idx="18">
                  <c:v>228</c:v>
                </c:pt>
                <c:pt idx="19">
                  <c:v>229</c:v>
                </c:pt>
                <c:pt idx="20">
                  <c:v>230</c:v>
                </c:pt>
                <c:pt idx="21">
                  <c:v>231</c:v>
                </c:pt>
                <c:pt idx="22">
                  <c:v>232</c:v>
                </c:pt>
                <c:pt idx="23">
                  <c:v>233</c:v>
                </c:pt>
                <c:pt idx="24">
                  <c:v>234</c:v>
                </c:pt>
                <c:pt idx="25">
                  <c:v>235</c:v>
                </c:pt>
                <c:pt idx="26">
                  <c:v>236</c:v>
                </c:pt>
                <c:pt idx="27">
                  <c:v>237</c:v>
                </c:pt>
                <c:pt idx="28">
                  <c:v>238</c:v>
                </c:pt>
                <c:pt idx="29">
                  <c:v>239</c:v>
                </c:pt>
                <c:pt idx="30">
                  <c:v>240</c:v>
                </c:pt>
                <c:pt idx="31">
                  <c:v>241</c:v>
                </c:pt>
                <c:pt idx="32">
                  <c:v>242</c:v>
                </c:pt>
                <c:pt idx="33">
                  <c:v>243</c:v>
                </c:pt>
                <c:pt idx="34">
                  <c:v>244</c:v>
                </c:pt>
                <c:pt idx="35">
                  <c:v>245</c:v>
                </c:pt>
                <c:pt idx="36">
                  <c:v>246</c:v>
                </c:pt>
                <c:pt idx="37">
                  <c:v>247</c:v>
                </c:pt>
                <c:pt idx="38">
                  <c:v>248</c:v>
                </c:pt>
                <c:pt idx="39">
                  <c:v>249</c:v>
                </c:pt>
                <c:pt idx="40">
                  <c:v>250</c:v>
                </c:pt>
                <c:pt idx="41">
                  <c:v>251</c:v>
                </c:pt>
                <c:pt idx="42">
                  <c:v>252</c:v>
                </c:pt>
                <c:pt idx="43">
                  <c:v>253</c:v>
                </c:pt>
                <c:pt idx="44">
                  <c:v>254</c:v>
                </c:pt>
                <c:pt idx="45">
                  <c:v>255</c:v>
                </c:pt>
                <c:pt idx="46">
                  <c:v>256</c:v>
                </c:pt>
                <c:pt idx="47">
                  <c:v>257</c:v>
                </c:pt>
                <c:pt idx="48">
                  <c:v>258</c:v>
                </c:pt>
                <c:pt idx="49">
                  <c:v>259</c:v>
                </c:pt>
                <c:pt idx="50">
                  <c:v>260</c:v>
                </c:pt>
                <c:pt idx="51">
                  <c:v>261</c:v>
                </c:pt>
                <c:pt idx="52">
                  <c:v>262</c:v>
                </c:pt>
                <c:pt idx="53">
                  <c:v>263</c:v>
                </c:pt>
                <c:pt idx="54">
                  <c:v>264</c:v>
                </c:pt>
                <c:pt idx="55">
                  <c:v>265</c:v>
                </c:pt>
                <c:pt idx="56">
                  <c:v>266</c:v>
                </c:pt>
                <c:pt idx="57">
                  <c:v>267</c:v>
                </c:pt>
                <c:pt idx="58">
                  <c:v>268</c:v>
                </c:pt>
                <c:pt idx="59">
                  <c:v>269</c:v>
                </c:pt>
                <c:pt idx="60">
                  <c:v>270</c:v>
                </c:pt>
                <c:pt idx="61">
                  <c:v>271</c:v>
                </c:pt>
                <c:pt idx="62">
                  <c:v>272</c:v>
                </c:pt>
                <c:pt idx="63">
                  <c:v>273</c:v>
                </c:pt>
                <c:pt idx="64">
                  <c:v>274</c:v>
                </c:pt>
                <c:pt idx="65">
                  <c:v>275</c:v>
                </c:pt>
                <c:pt idx="66">
                  <c:v>276</c:v>
                </c:pt>
                <c:pt idx="67">
                  <c:v>277</c:v>
                </c:pt>
                <c:pt idx="68">
                  <c:v>278</c:v>
                </c:pt>
                <c:pt idx="69">
                  <c:v>279</c:v>
                </c:pt>
                <c:pt idx="70">
                  <c:v>280</c:v>
                </c:pt>
                <c:pt idx="71">
                  <c:v>281</c:v>
                </c:pt>
                <c:pt idx="72">
                  <c:v>282</c:v>
                </c:pt>
                <c:pt idx="73">
                  <c:v>283</c:v>
                </c:pt>
                <c:pt idx="74">
                  <c:v>284</c:v>
                </c:pt>
                <c:pt idx="75">
                  <c:v>285</c:v>
                </c:pt>
                <c:pt idx="76">
                  <c:v>286</c:v>
                </c:pt>
                <c:pt idx="77">
                  <c:v>287</c:v>
                </c:pt>
                <c:pt idx="78">
                  <c:v>288</c:v>
                </c:pt>
                <c:pt idx="79">
                  <c:v>289</c:v>
                </c:pt>
                <c:pt idx="80">
                  <c:v>290</c:v>
                </c:pt>
                <c:pt idx="81">
                  <c:v>291</c:v>
                </c:pt>
                <c:pt idx="82">
                  <c:v>292</c:v>
                </c:pt>
                <c:pt idx="83">
                  <c:v>293</c:v>
                </c:pt>
                <c:pt idx="84">
                  <c:v>294</c:v>
                </c:pt>
                <c:pt idx="85">
                  <c:v>295</c:v>
                </c:pt>
                <c:pt idx="86">
                  <c:v>296</c:v>
                </c:pt>
                <c:pt idx="87">
                  <c:v>297</c:v>
                </c:pt>
                <c:pt idx="88">
                  <c:v>298</c:v>
                </c:pt>
                <c:pt idx="89">
                  <c:v>299</c:v>
                </c:pt>
                <c:pt idx="90">
                  <c:v>300</c:v>
                </c:pt>
                <c:pt idx="91">
                  <c:v>301</c:v>
                </c:pt>
                <c:pt idx="92">
                  <c:v>302</c:v>
                </c:pt>
                <c:pt idx="93">
                  <c:v>303</c:v>
                </c:pt>
                <c:pt idx="94">
                  <c:v>304</c:v>
                </c:pt>
                <c:pt idx="95">
                  <c:v>305</c:v>
                </c:pt>
                <c:pt idx="96">
                  <c:v>306</c:v>
                </c:pt>
                <c:pt idx="97">
                  <c:v>307</c:v>
                </c:pt>
                <c:pt idx="98">
                  <c:v>308</c:v>
                </c:pt>
                <c:pt idx="99">
                  <c:v>309</c:v>
                </c:pt>
                <c:pt idx="100">
                  <c:v>310</c:v>
                </c:pt>
                <c:pt idx="101">
                  <c:v>311</c:v>
                </c:pt>
                <c:pt idx="102">
                  <c:v>312</c:v>
                </c:pt>
                <c:pt idx="103">
                  <c:v>313</c:v>
                </c:pt>
                <c:pt idx="104">
                  <c:v>314</c:v>
                </c:pt>
                <c:pt idx="105">
                  <c:v>315</c:v>
                </c:pt>
                <c:pt idx="106">
                  <c:v>316</c:v>
                </c:pt>
                <c:pt idx="107">
                  <c:v>317</c:v>
                </c:pt>
                <c:pt idx="108">
                  <c:v>318</c:v>
                </c:pt>
                <c:pt idx="109">
                  <c:v>319</c:v>
                </c:pt>
                <c:pt idx="110">
                  <c:v>320</c:v>
                </c:pt>
                <c:pt idx="111">
                  <c:v>321</c:v>
                </c:pt>
                <c:pt idx="112">
                  <c:v>322</c:v>
                </c:pt>
                <c:pt idx="113">
                  <c:v>323</c:v>
                </c:pt>
                <c:pt idx="114">
                  <c:v>324</c:v>
                </c:pt>
                <c:pt idx="115">
                  <c:v>325</c:v>
                </c:pt>
                <c:pt idx="116">
                  <c:v>326</c:v>
                </c:pt>
                <c:pt idx="117">
                  <c:v>327</c:v>
                </c:pt>
                <c:pt idx="118">
                  <c:v>328</c:v>
                </c:pt>
                <c:pt idx="119">
                  <c:v>329</c:v>
                </c:pt>
                <c:pt idx="120">
                  <c:v>330</c:v>
                </c:pt>
                <c:pt idx="121">
                  <c:v>331</c:v>
                </c:pt>
                <c:pt idx="122">
                  <c:v>332</c:v>
                </c:pt>
                <c:pt idx="123">
                  <c:v>333</c:v>
                </c:pt>
                <c:pt idx="124">
                  <c:v>334</c:v>
                </c:pt>
                <c:pt idx="125">
                  <c:v>335</c:v>
                </c:pt>
                <c:pt idx="126">
                  <c:v>336</c:v>
                </c:pt>
                <c:pt idx="127">
                  <c:v>337</c:v>
                </c:pt>
                <c:pt idx="128">
                  <c:v>338</c:v>
                </c:pt>
                <c:pt idx="129">
                  <c:v>339</c:v>
                </c:pt>
                <c:pt idx="130">
                  <c:v>340</c:v>
                </c:pt>
                <c:pt idx="131">
                  <c:v>341</c:v>
                </c:pt>
                <c:pt idx="132">
                  <c:v>342</c:v>
                </c:pt>
                <c:pt idx="133">
                  <c:v>343</c:v>
                </c:pt>
                <c:pt idx="134">
                  <c:v>344</c:v>
                </c:pt>
                <c:pt idx="135">
                  <c:v>345</c:v>
                </c:pt>
                <c:pt idx="136">
                  <c:v>346</c:v>
                </c:pt>
                <c:pt idx="137">
                  <c:v>347</c:v>
                </c:pt>
                <c:pt idx="138">
                  <c:v>348</c:v>
                </c:pt>
                <c:pt idx="139">
                  <c:v>349</c:v>
                </c:pt>
                <c:pt idx="140">
                  <c:v>350</c:v>
                </c:pt>
                <c:pt idx="141">
                  <c:v>351</c:v>
                </c:pt>
                <c:pt idx="142">
                  <c:v>352</c:v>
                </c:pt>
                <c:pt idx="143">
                  <c:v>353</c:v>
                </c:pt>
                <c:pt idx="144">
                  <c:v>354</c:v>
                </c:pt>
                <c:pt idx="145">
                  <c:v>355</c:v>
                </c:pt>
                <c:pt idx="146">
                  <c:v>356</c:v>
                </c:pt>
                <c:pt idx="147">
                  <c:v>357</c:v>
                </c:pt>
              </c:numCache>
            </c:numRef>
          </c:xVal>
          <c:yVal>
            <c:numRef>
              <c:f>'Structure A'!$F$4:$F$151</c:f>
              <c:numCache>
                <c:formatCode>General</c:formatCode>
                <c:ptCount val="1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numCache>
            </c:numRef>
          </c:yVal>
          <c:smooth val="1"/>
        </c:ser>
        <c:ser>
          <c:idx val="1"/>
          <c:order val="1"/>
          <c:tx>
            <c:v>SC_SUS</c:v>
          </c:tx>
          <c:marker>
            <c:symbol val="none"/>
          </c:marker>
          <c:xVal>
            <c:numRef>
              <c:f>'Structure A'!$A$4:$A$151</c:f>
              <c:numCache>
                <c:formatCode>General</c:formatCode>
                <c:ptCount val="148"/>
                <c:pt idx="0">
                  <c:v>210</c:v>
                </c:pt>
                <c:pt idx="1">
                  <c:v>211</c:v>
                </c:pt>
                <c:pt idx="2">
                  <c:v>212</c:v>
                </c:pt>
                <c:pt idx="3">
                  <c:v>213</c:v>
                </c:pt>
                <c:pt idx="4">
                  <c:v>214</c:v>
                </c:pt>
                <c:pt idx="5">
                  <c:v>215</c:v>
                </c:pt>
                <c:pt idx="6">
                  <c:v>216</c:v>
                </c:pt>
                <c:pt idx="7">
                  <c:v>217</c:v>
                </c:pt>
                <c:pt idx="8">
                  <c:v>218</c:v>
                </c:pt>
                <c:pt idx="9">
                  <c:v>219</c:v>
                </c:pt>
                <c:pt idx="10">
                  <c:v>220</c:v>
                </c:pt>
                <c:pt idx="11">
                  <c:v>221</c:v>
                </c:pt>
                <c:pt idx="12">
                  <c:v>222</c:v>
                </c:pt>
                <c:pt idx="13">
                  <c:v>223</c:v>
                </c:pt>
                <c:pt idx="14">
                  <c:v>224</c:v>
                </c:pt>
                <c:pt idx="15">
                  <c:v>225</c:v>
                </c:pt>
                <c:pt idx="16">
                  <c:v>226</c:v>
                </c:pt>
                <c:pt idx="17">
                  <c:v>227</c:v>
                </c:pt>
                <c:pt idx="18">
                  <c:v>228</c:v>
                </c:pt>
                <c:pt idx="19">
                  <c:v>229</c:v>
                </c:pt>
                <c:pt idx="20">
                  <c:v>230</c:v>
                </c:pt>
                <c:pt idx="21">
                  <c:v>231</c:v>
                </c:pt>
                <c:pt idx="22">
                  <c:v>232</c:v>
                </c:pt>
                <c:pt idx="23">
                  <c:v>233</c:v>
                </c:pt>
                <c:pt idx="24">
                  <c:v>234</c:v>
                </c:pt>
                <c:pt idx="25">
                  <c:v>235</c:v>
                </c:pt>
                <c:pt idx="26">
                  <c:v>236</c:v>
                </c:pt>
                <c:pt idx="27">
                  <c:v>237</c:v>
                </c:pt>
                <c:pt idx="28">
                  <c:v>238</c:v>
                </c:pt>
                <c:pt idx="29">
                  <c:v>239</c:v>
                </c:pt>
                <c:pt idx="30">
                  <c:v>240</c:v>
                </c:pt>
                <c:pt idx="31">
                  <c:v>241</c:v>
                </c:pt>
                <c:pt idx="32">
                  <c:v>242</c:v>
                </c:pt>
                <c:pt idx="33">
                  <c:v>243</c:v>
                </c:pt>
                <c:pt idx="34">
                  <c:v>244</c:v>
                </c:pt>
                <c:pt idx="35">
                  <c:v>245</c:v>
                </c:pt>
                <c:pt idx="36">
                  <c:v>246</c:v>
                </c:pt>
                <c:pt idx="37">
                  <c:v>247</c:v>
                </c:pt>
                <c:pt idx="38">
                  <c:v>248</c:v>
                </c:pt>
                <c:pt idx="39">
                  <c:v>249</c:v>
                </c:pt>
                <c:pt idx="40">
                  <c:v>250</c:v>
                </c:pt>
                <c:pt idx="41">
                  <c:v>251</c:v>
                </c:pt>
                <c:pt idx="42">
                  <c:v>252</c:v>
                </c:pt>
                <c:pt idx="43">
                  <c:v>253</c:v>
                </c:pt>
                <c:pt idx="44">
                  <c:v>254</c:v>
                </c:pt>
                <c:pt idx="45">
                  <c:v>255</c:v>
                </c:pt>
                <c:pt idx="46">
                  <c:v>256</c:v>
                </c:pt>
                <c:pt idx="47">
                  <c:v>257</c:v>
                </c:pt>
                <c:pt idx="48">
                  <c:v>258</c:v>
                </c:pt>
                <c:pt idx="49">
                  <c:v>259</c:v>
                </c:pt>
                <c:pt idx="50">
                  <c:v>260</c:v>
                </c:pt>
                <c:pt idx="51">
                  <c:v>261</c:v>
                </c:pt>
                <c:pt idx="52">
                  <c:v>262</c:v>
                </c:pt>
                <c:pt idx="53">
                  <c:v>263</c:v>
                </c:pt>
                <c:pt idx="54">
                  <c:v>264</c:v>
                </c:pt>
                <c:pt idx="55">
                  <c:v>265</c:v>
                </c:pt>
                <c:pt idx="56">
                  <c:v>266</c:v>
                </c:pt>
                <c:pt idx="57">
                  <c:v>267</c:v>
                </c:pt>
                <c:pt idx="58">
                  <c:v>268</c:v>
                </c:pt>
                <c:pt idx="59">
                  <c:v>269</c:v>
                </c:pt>
                <c:pt idx="60">
                  <c:v>270</c:v>
                </c:pt>
                <c:pt idx="61">
                  <c:v>271</c:v>
                </c:pt>
                <c:pt idx="62">
                  <c:v>272</c:v>
                </c:pt>
                <c:pt idx="63">
                  <c:v>273</c:v>
                </c:pt>
                <c:pt idx="64">
                  <c:v>274</c:v>
                </c:pt>
                <c:pt idx="65">
                  <c:v>275</c:v>
                </c:pt>
                <c:pt idx="66">
                  <c:v>276</c:v>
                </c:pt>
                <c:pt idx="67">
                  <c:v>277</c:v>
                </c:pt>
                <c:pt idx="68">
                  <c:v>278</c:v>
                </c:pt>
                <c:pt idx="69">
                  <c:v>279</c:v>
                </c:pt>
                <c:pt idx="70">
                  <c:v>280</c:v>
                </c:pt>
                <c:pt idx="71">
                  <c:v>281</c:v>
                </c:pt>
                <c:pt idx="72">
                  <c:v>282</c:v>
                </c:pt>
                <c:pt idx="73">
                  <c:v>283</c:v>
                </c:pt>
                <c:pt idx="74">
                  <c:v>284</c:v>
                </c:pt>
                <c:pt idx="75">
                  <c:v>285</c:v>
                </c:pt>
                <c:pt idx="76">
                  <c:v>286</c:v>
                </c:pt>
                <c:pt idx="77">
                  <c:v>287</c:v>
                </c:pt>
                <c:pt idx="78">
                  <c:v>288</c:v>
                </c:pt>
                <c:pt idx="79">
                  <c:v>289</c:v>
                </c:pt>
                <c:pt idx="80">
                  <c:v>290</c:v>
                </c:pt>
                <c:pt idx="81">
                  <c:v>291</c:v>
                </c:pt>
                <c:pt idx="82">
                  <c:v>292</c:v>
                </c:pt>
                <c:pt idx="83">
                  <c:v>293</c:v>
                </c:pt>
                <c:pt idx="84">
                  <c:v>294</c:v>
                </c:pt>
                <c:pt idx="85">
                  <c:v>295</c:v>
                </c:pt>
                <c:pt idx="86">
                  <c:v>296</c:v>
                </c:pt>
                <c:pt idx="87">
                  <c:v>297</c:v>
                </c:pt>
                <c:pt idx="88">
                  <c:v>298</c:v>
                </c:pt>
                <c:pt idx="89">
                  <c:v>299</c:v>
                </c:pt>
                <c:pt idx="90">
                  <c:v>300</c:v>
                </c:pt>
                <c:pt idx="91">
                  <c:v>301</c:v>
                </c:pt>
                <c:pt idx="92">
                  <c:v>302</c:v>
                </c:pt>
                <c:pt idx="93">
                  <c:v>303</c:v>
                </c:pt>
                <c:pt idx="94">
                  <c:v>304</c:v>
                </c:pt>
                <c:pt idx="95">
                  <c:v>305</c:v>
                </c:pt>
                <c:pt idx="96">
                  <c:v>306</c:v>
                </c:pt>
                <c:pt idx="97">
                  <c:v>307</c:v>
                </c:pt>
                <c:pt idx="98">
                  <c:v>308</c:v>
                </c:pt>
                <c:pt idx="99">
                  <c:v>309</c:v>
                </c:pt>
                <c:pt idx="100">
                  <c:v>310</c:v>
                </c:pt>
                <c:pt idx="101">
                  <c:v>311</c:v>
                </c:pt>
                <c:pt idx="102">
                  <c:v>312</c:v>
                </c:pt>
                <c:pt idx="103">
                  <c:v>313</c:v>
                </c:pt>
                <c:pt idx="104">
                  <c:v>314</c:v>
                </c:pt>
                <c:pt idx="105">
                  <c:v>315</c:v>
                </c:pt>
                <c:pt idx="106">
                  <c:v>316</c:v>
                </c:pt>
                <c:pt idx="107">
                  <c:v>317</c:v>
                </c:pt>
                <c:pt idx="108">
                  <c:v>318</c:v>
                </c:pt>
                <c:pt idx="109">
                  <c:v>319</c:v>
                </c:pt>
                <c:pt idx="110">
                  <c:v>320</c:v>
                </c:pt>
                <c:pt idx="111">
                  <c:v>321</c:v>
                </c:pt>
                <c:pt idx="112">
                  <c:v>322</c:v>
                </c:pt>
                <c:pt idx="113">
                  <c:v>323</c:v>
                </c:pt>
                <c:pt idx="114">
                  <c:v>324</c:v>
                </c:pt>
                <c:pt idx="115">
                  <c:v>325</c:v>
                </c:pt>
                <c:pt idx="116">
                  <c:v>326</c:v>
                </c:pt>
                <c:pt idx="117">
                  <c:v>327</c:v>
                </c:pt>
                <c:pt idx="118">
                  <c:v>328</c:v>
                </c:pt>
                <c:pt idx="119">
                  <c:v>329</c:v>
                </c:pt>
                <c:pt idx="120">
                  <c:v>330</c:v>
                </c:pt>
                <c:pt idx="121">
                  <c:v>331</c:v>
                </c:pt>
                <c:pt idx="122">
                  <c:v>332</c:v>
                </c:pt>
                <c:pt idx="123">
                  <c:v>333</c:v>
                </c:pt>
                <c:pt idx="124">
                  <c:v>334</c:v>
                </c:pt>
                <c:pt idx="125">
                  <c:v>335</c:v>
                </c:pt>
                <c:pt idx="126">
                  <c:v>336</c:v>
                </c:pt>
                <c:pt idx="127">
                  <c:v>337</c:v>
                </c:pt>
                <c:pt idx="128">
                  <c:v>338</c:v>
                </c:pt>
                <c:pt idx="129">
                  <c:v>339</c:v>
                </c:pt>
                <c:pt idx="130">
                  <c:v>340</c:v>
                </c:pt>
                <c:pt idx="131">
                  <c:v>341</c:v>
                </c:pt>
                <c:pt idx="132">
                  <c:v>342</c:v>
                </c:pt>
                <c:pt idx="133">
                  <c:v>343</c:v>
                </c:pt>
                <c:pt idx="134">
                  <c:v>344</c:v>
                </c:pt>
                <c:pt idx="135">
                  <c:v>345</c:v>
                </c:pt>
                <c:pt idx="136">
                  <c:v>346</c:v>
                </c:pt>
                <c:pt idx="137">
                  <c:v>347</c:v>
                </c:pt>
                <c:pt idx="138">
                  <c:v>348</c:v>
                </c:pt>
                <c:pt idx="139">
                  <c:v>349</c:v>
                </c:pt>
                <c:pt idx="140">
                  <c:v>350</c:v>
                </c:pt>
                <c:pt idx="141">
                  <c:v>351</c:v>
                </c:pt>
                <c:pt idx="142">
                  <c:v>352</c:v>
                </c:pt>
                <c:pt idx="143">
                  <c:v>353</c:v>
                </c:pt>
                <c:pt idx="144">
                  <c:v>354</c:v>
                </c:pt>
                <c:pt idx="145">
                  <c:v>355</c:v>
                </c:pt>
                <c:pt idx="146">
                  <c:v>356</c:v>
                </c:pt>
                <c:pt idx="147">
                  <c:v>357</c:v>
                </c:pt>
              </c:numCache>
            </c:numRef>
          </c:xVal>
          <c:yVal>
            <c:numRef>
              <c:f>'Structure A'!$G$4:$G$151</c:f>
              <c:numCache>
                <c:formatCode>General</c:formatCode>
                <c:ptCount val="1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numCache>
            </c:numRef>
          </c:yVal>
          <c:smooth val="1"/>
        </c:ser>
        <c:ser>
          <c:idx val="2"/>
          <c:order val="2"/>
          <c:tx>
            <c:v>SL_EXP</c:v>
          </c:tx>
          <c:marker>
            <c:symbol val="none"/>
          </c:marker>
          <c:xVal>
            <c:numRef>
              <c:f>'Structure A'!$A$4:$A$151</c:f>
              <c:numCache>
                <c:formatCode>General</c:formatCode>
                <c:ptCount val="148"/>
                <c:pt idx="0">
                  <c:v>210</c:v>
                </c:pt>
                <c:pt idx="1">
                  <c:v>211</c:v>
                </c:pt>
                <c:pt idx="2">
                  <c:v>212</c:v>
                </c:pt>
                <c:pt idx="3">
                  <c:v>213</c:v>
                </c:pt>
                <c:pt idx="4">
                  <c:v>214</c:v>
                </c:pt>
                <c:pt idx="5">
                  <c:v>215</c:v>
                </c:pt>
                <c:pt idx="6">
                  <c:v>216</c:v>
                </c:pt>
                <c:pt idx="7">
                  <c:v>217</c:v>
                </c:pt>
                <c:pt idx="8">
                  <c:v>218</c:v>
                </c:pt>
                <c:pt idx="9">
                  <c:v>219</c:v>
                </c:pt>
                <c:pt idx="10">
                  <c:v>220</c:v>
                </c:pt>
                <c:pt idx="11">
                  <c:v>221</c:v>
                </c:pt>
                <c:pt idx="12">
                  <c:v>222</c:v>
                </c:pt>
                <c:pt idx="13">
                  <c:v>223</c:v>
                </c:pt>
                <c:pt idx="14">
                  <c:v>224</c:v>
                </c:pt>
                <c:pt idx="15">
                  <c:v>225</c:v>
                </c:pt>
                <c:pt idx="16">
                  <c:v>226</c:v>
                </c:pt>
                <c:pt idx="17">
                  <c:v>227</c:v>
                </c:pt>
                <c:pt idx="18">
                  <c:v>228</c:v>
                </c:pt>
                <c:pt idx="19">
                  <c:v>229</c:v>
                </c:pt>
                <c:pt idx="20">
                  <c:v>230</c:v>
                </c:pt>
                <c:pt idx="21">
                  <c:v>231</c:v>
                </c:pt>
                <c:pt idx="22">
                  <c:v>232</c:v>
                </c:pt>
                <c:pt idx="23">
                  <c:v>233</c:v>
                </c:pt>
                <c:pt idx="24">
                  <c:v>234</c:v>
                </c:pt>
                <c:pt idx="25">
                  <c:v>235</c:v>
                </c:pt>
                <c:pt idx="26">
                  <c:v>236</c:v>
                </c:pt>
                <c:pt idx="27">
                  <c:v>237</c:v>
                </c:pt>
                <c:pt idx="28">
                  <c:v>238</c:v>
                </c:pt>
                <c:pt idx="29">
                  <c:v>239</c:v>
                </c:pt>
                <c:pt idx="30">
                  <c:v>240</c:v>
                </c:pt>
                <c:pt idx="31">
                  <c:v>241</c:v>
                </c:pt>
                <c:pt idx="32">
                  <c:v>242</c:v>
                </c:pt>
                <c:pt idx="33">
                  <c:v>243</c:v>
                </c:pt>
                <c:pt idx="34">
                  <c:v>244</c:v>
                </c:pt>
                <c:pt idx="35">
                  <c:v>245</c:v>
                </c:pt>
                <c:pt idx="36">
                  <c:v>246</c:v>
                </c:pt>
                <c:pt idx="37">
                  <c:v>247</c:v>
                </c:pt>
                <c:pt idx="38">
                  <c:v>248</c:v>
                </c:pt>
                <c:pt idx="39">
                  <c:v>249</c:v>
                </c:pt>
                <c:pt idx="40">
                  <c:v>250</c:v>
                </c:pt>
                <c:pt idx="41">
                  <c:v>251</c:v>
                </c:pt>
                <c:pt idx="42">
                  <c:v>252</c:v>
                </c:pt>
                <c:pt idx="43">
                  <c:v>253</c:v>
                </c:pt>
                <c:pt idx="44">
                  <c:v>254</c:v>
                </c:pt>
                <c:pt idx="45">
                  <c:v>255</c:v>
                </c:pt>
                <c:pt idx="46">
                  <c:v>256</c:v>
                </c:pt>
                <c:pt idx="47">
                  <c:v>257</c:v>
                </c:pt>
                <c:pt idx="48">
                  <c:v>258</c:v>
                </c:pt>
                <c:pt idx="49">
                  <c:v>259</c:v>
                </c:pt>
                <c:pt idx="50">
                  <c:v>260</c:v>
                </c:pt>
                <c:pt idx="51">
                  <c:v>261</c:v>
                </c:pt>
                <c:pt idx="52">
                  <c:v>262</c:v>
                </c:pt>
                <c:pt idx="53">
                  <c:v>263</c:v>
                </c:pt>
                <c:pt idx="54">
                  <c:v>264</c:v>
                </c:pt>
                <c:pt idx="55">
                  <c:v>265</c:v>
                </c:pt>
                <c:pt idx="56">
                  <c:v>266</c:v>
                </c:pt>
                <c:pt idx="57">
                  <c:v>267</c:v>
                </c:pt>
                <c:pt idx="58">
                  <c:v>268</c:v>
                </c:pt>
                <c:pt idx="59">
                  <c:v>269</c:v>
                </c:pt>
                <c:pt idx="60">
                  <c:v>270</c:v>
                </c:pt>
                <c:pt idx="61">
                  <c:v>271</c:v>
                </c:pt>
                <c:pt idx="62">
                  <c:v>272</c:v>
                </c:pt>
                <c:pt idx="63">
                  <c:v>273</c:v>
                </c:pt>
                <c:pt idx="64">
                  <c:v>274</c:v>
                </c:pt>
                <c:pt idx="65">
                  <c:v>275</c:v>
                </c:pt>
                <c:pt idx="66">
                  <c:v>276</c:v>
                </c:pt>
                <c:pt idx="67">
                  <c:v>277</c:v>
                </c:pt>
                <c:pt idx="68">
                  <c:v>278</c:v>
                </c:pt>
                <c:pt idx="69">
                  <c:v>279</c:v>
                </c:pt>
                <c:pt idx="70">
                  <c:v>280</c:v>
                </c:pt>
                <c:pt idx="71">
                  <c:v>281</c:v>
                </c:pt>
                <c:pt idx="72">
                  <c:v>282</c:v>
                </c:pt>
                <c:pt idx="73">
                  <c:v>283</c:v>
                </c:pt>
                <c:pt idx="74">
                  <c:v>284</c:v>
                </c:pt>
                <c:pt idx="75">
                  <c:v>285</c:v>
                </c:pt>
                <c:pt idx="76">
                  <c:v>286</c:v>
                </c:pt>
                <c:pt idx="77">
                  <c:v>287</c:v>
                </c:pt>
                <c:pt idx="78">
                  <c:v>288</c:v>
                </c:pt>
                <c:pt idx="79">
                  <c:v>289</c:v>
                </c:pt>
                <c:pt idx="80">
                  <c:v>290</c:v>
                </c:pt>
                <c:pt idx="81">
                  <c:v>291</c:v>
                </c:pt>
                <c:pt idx="82">
                  <c:v>292</c:v>
                </c:pt>
                <c:pt idx="83">
                  <c:v>293</c:v>
                </c:pt>
                <c:pt idx="84">
                  <c:v>294</c:v>
                </c:pt>
                <c:pt idx="85">
                  <c:v>295</c:v>
                </c:pt>
                <c:pt idx="86">
                  <c:v>296</c:v>
                </c:pt>
                <c:pt idx="87">
                  <c:v>297</c:v>
                </c:pt>
                <c:pt idx="88">
                  <c:v>298</c:v>
                </c:pt>
                <c:pt idx="89">
                  <c:v>299</c:v>
                </c:pt>
                <c:pt idx="90">
                  <c:v>300</c:v>
                </c:pt>
                <c:pt idx="91">
                  <c:v>301</c:v>
                </c:pt>
                <c:pt idx="92">
                  <c:v>302</c:v>
                </c:pt>
                <c:pt idx="93">
                  <c:v>303</c:v>
                </c:pt>
                <c:pt idx="94">
                  <c:v>304</c:v>
                </c:pt>
                <c:pt idx="95">
                  <c:v>305</c:v>
                </c:pt>
                <c:pt idx="96">
                  <c:v>306</c:v>
                </c:pt>
                <c:pt idx="97">
                  <c:v>307</c:v>
                </c:pt>
                <c:pt idx="98">
                  <c:v>308</c:v>
                </c:pt>
                <c:pt idx="99">
                  <c:v>309</c:v>
                </c:pt>
                <c:pt idx="100">
                  <c:v>310</c:v>
                </c:pt>
                <c:pt idx="101">
                  <c:v>311</c:v>
                </c:pt>
                <c:pt idx="102">
                  <c:v>312</c:v>
                </c:pt>
                <c:pt idx="103">
                  <c:v>313</c:v>
                </c:pt>
                <c:pt idx="104">
                  <c:v>314</c:v>
                </c:pt>
                <c:pt idx="105">
                  <c:v>315</c:v>
                </c:pt>
                <c:pt idx="106">
                  <c:v>316</c:v>
                </c:pt>
                <c:pt idx="107">
                  <c:v>317</c:v>
                </c:pt>
                <c:pt idx="108">
                  <c:v>318</c:v>
                </c:pt>
                <c:pt idx="109">
                  <c:v>319</c:v>
                </c:pt>
                <c:pt idx="110">
                  <c:v>320</c:v>
                </c:pt>
                <c:pt idx="111">
                  <c:v>321</c:v>
                </c:pt>
                <c:pt idx="112">
                  <c:v>322</c:v>
                </c:pt>
                <c:pt idx="113">
                  <c:v>323</c:v>
                </c:pt>
                <c:pt idx="114">
                  <c:v>324</c:v>
                </c:pt>
                <c:pt idx="115">
                  <c:v>325</c:v>
                </c:pt>
                <c:pt idx="116">
                  <c:v>326</c:v>
                </c:pt>
                <c:pt idx="117">
                  <c:v>327</c:v>
                </c:pt>
                <c:pt idx="118">
                  <c:v>328</c:v>
                </c:pt>
                <c:pt idx="119">
                  <c:v>329</c:v>
                </c:pt>
                <c:pt idx="120">
                  <c:v>330</c:v>
                </c:pt>
                <c:pt idx="121">
                  <c:v>331</c:v>
                </c:pt>
                <c:pt idx="122">
                  <c:v>332</c:v>
                </c:pt>
                <c:pt idx="123">
                  <c:v>333</c:v>
                </c:pt>
                <c:pt idx="124">
                  <c:v>334</c:v>
                </c:pt>
                <c:pt idx="125">
                  <c:v>335</c:v>
                </c:pt>
                <c:pt idx="126">
                  <c:v>336</c:v>
                </c:pt>
                <c:pt idx="127">
                  <c:v>337</c:v>
                </c:pt>
                <c:pt idx="128">
                  <c:v>338</c:v>
                </c:pt>
                <c:pt idx="129">
                  <c:v>339</c:v>
                </c:pt>
                <c:pt idx="130">
                  <c:v>340</c:v>
                </c:pt>
                <c:pt idx="131">
                  <c:v>341</c:v>
                </c:pt>
                <c:pt idx="132">
                  <c:v>342</c:v>
                </c:pt>
                <c:pt idx="133">
                  <c:v>343</c:v>
                </c:pt>
                <c:pt idx="134">
                  <c:v>344</c:v>
                </c:pt>
                <c:pt idx="135">
                  <c:v>345</c:v>
                </c:pt>
                <c:pt idx="136">
                  <c:v>346</c:v>
                </c:pt>
                <c:pt idx="137">
                  <c:v>347</c:v>
                </c:pt>
                <c:pt idx="138">
                  <c:v>348</c:v>
                </c:pt>
                <c:pt idx="139">
                  <c:v>349</c:v>
                </c:pt>
                <c:pt idx="140">
                  <c:v>350</c:v>
                </c:pt>
                <c:pt idx="141">
                  <c:v>351</c:v>
                </c:pt>
                <c:pt idx="142">
                  <c:v>352</c:v>
                </c:pt>
                <c:pt idx="143">
                  <c:v>353</c:v>
                </c:pt>
                <c:pt idx="144">
                  <c:v>354</c:v>
                </c:pt>
                <c:pt idx="145">
                  <c:v>355</c:v>
                </c:pt>
                <c:pt idx="146">
                  <c:v>356</c:v>
                </c:pt>
                <c:pt idx="147">
                  <c:v>357</c:v>
                </c:pt>
              </c:numCache>
            </c:numRef>
          </c:xVal>
          <c:yVal>
            <c:numRef>
              <c:f>'Structure A'!$L$4:$L$151</c:f>
              <c:numCache>
                <c:formatCode>General</c:formatCode>
                <c:ptCount val="148"/>
                <c:pt idx="0">
                  <c:v>2560.8087976833685</c:v>
                </c:pt>
                <c:pt idx="1">
                  <c:v>2548.6549240432223</c:v>
                </c:pt>
                <c:pt idx="2">
                  <c:v>2536.6159531027874</c:v>
                </c:pt>
                <c:pt idx="3">
                  <c:v>2524.6902619759885</c:v>
                </c:pt>
                <c:pt idx="4">
                  <c:v>2512.8762582162844</c:v>
                </c:pt>
                <c:pt idx="5">
                  <c:v>2501.1723791058585</c:v>
                </c:pt>
                <c:pt idx="6">
                  <c:v>2489.5770909646508</c:v>
                </c:pt>
                <c:pt idx="7">
                  <c:v>2478.0888884785768</c:v>
                </c:pt>
                <c:pt idx="8">
                  <c:v>2466.7062940463325</c:v>
                </c:pt>
                <c:pt idx="9">
                  <c:v>2455.4278571441669</c:v>
                </c:pt>
                <c:pt idx="10">
                  <c:v>2444.2521537080643</c:v>
                </c:pt>
                <c:pt idx="11">
                  <c:v>2433.17778553278</c:v>
                </c:pt>
                <c:pt idx="12">
                  <c:v>2422.2033796871788</c:v>
                </c:pt>
                <c:pt idx="13">
                  <c:v>2411.3275879453859</c:v>
                </c:pt>
                <c:pt idx="14">
                  <c:v>2400.5490862332399</c:v>
                </c:pt>
                <c:pt idx="15">
                  <c:v>2389.8665740895649</c:v>
                </c:pt>
                <c:pt idx="16">
                  <c:v>2379.2787741418142</c:v>
                </c:pt>
                <c:pt idx="17">
                  <c:v>2368.7844315956349</c:v>
                </c:pt>
                <c:pt idx="18">
                  <c:v>2358.3823137379109</c:v>
                </c:pt>
                <c:pt idx="19">
                  <c:v>2348.071209452894</c:v>
                </c:pt>
                <c:pt idx="20">
                  <c:v>2337.849928751009</c:v>
                </c:pt>
                <c:pt idx="21">
                  <c:v>2327.7173023099367</c:v>
                </c:pt>
                <c:pt idx="22">
                  <c:v>2317.6721810276281</c:v>
                </c:pt>
                <c:pt idx="23">
                  <c:v>2307.7134355868734</c:v>
                </c:pt>
                <c:pt idx="24">
                  <c:v>2297.8399560310709</c:v>
                </c:pt>
                <c:pt idx="25">
                  <c:v>2288.0506513508826</c:v>
                </c:pt>
                <c:pt idx="26">
                  <c:v>2278.3444490814427</c:v>
                </c:pt>
                <c:pt idx="27">
                  <c:v>2268.7202949097814</c:v>
                </c:pt>
                <c:pt idx="28">
                  <c:v>2259.1771522922145</c:v>
                </c:pt>
                <c:pt idx="29">
                  <c:v>2249.714002081354</c:v>
                </c:pt>
                <c:pt idx="30">
                  <c:v>2240.3298421624895</c:v>
                </c:pt>
                <c:pt idx="31">
                  <c:v>2231.0236870990507</c:v>
                </c:pt>
                <c:pt idx="32">
                  <c:v>2221.7945677868988</c:v>
                </c:pt>
                <c:pt idx="33">
                  <c:v>2212.6415311171841</c:v>
                </c:pt>
                <c:pt idx="34">
                  <c:v>2203.5636396475215</c:v>
                </c:pt>
                <c:pt idx="35">
                  <c:v>2194.5599712812568</c:v>
                </c:pt>
                <c:pt idx="36">
                  <c:v>2185.6296189545742</c:v>
                </c:pt>
                <c:pt idx="37">
                  <c:v>2176.7716903312394</c:v>
                </c:pt>
                <c:pt idx="38">
                  <c:v>2167.9853075047531</c:v>
                </c:pt>
                <c:pt idx="39">
                  <c:v>2159.2696067077036</c:v>
                </c:pt>
                <c:pt idx="40">
                  <c:v>2150.6237380281282</c:v>
                </c:pt>
                <c:pt idx="41">
                  <c:v>2142.0468651326651</c:v>
                </c:pt>
                <c:pt idx="42">
                  <c:v>2133.5381649963374</c:v>
                </c:pt>
                <c:pt idx="43">
                  <c:v>2125.096827638748</c:v>
                </c:pt>
                <c:pt idx="44">
                  <c:v>2116.7220558665472</c:v>
                </c:pt>
                <c:pt idx="45">
                  <c:v>2108.4130650219631</c:v>
                </c:pt>
                <c:pt idx="46">
                  <c:v>2100.1690827372613</c:v>
                </c:pt>
                <c:pt idx="47">
                  <c:v>2091.9893486949422</c:v>
                </c:pt>
                <c:pt idx="48">
                  <c:v>2083.8731143935456</c:v>
                </c:pt>
                <c:pt idx="49">
                  <c:v>2075.8196429188879</c:v>
                </c:pt>
                <c:pt idx="50">
                  <c:v>2067.8282087206089</c:v>
                </c:pt>
                <c:pt idx="51">
                  <c:v>2059.8980973938556</c:v>
                </c:pt>
                <c:pt idx="52">
                  <c:v>2052.0286054659982</c:v>
                </c:pt>
                <c:pt idx="53">
                  <c:v>2044.2190401882171</c:v>
                </c:pt>
                <c:pt idx="54">
                  <c:v>2036.4687193318434</c:v>
                </c:pt>
                <c:pt idx="55">
                  <c:v>2028.7769709893294</c:v>
                </c:pt>
                <c:pt idx="56">
                  <c:v>2021.1431333797166</c:v>
                </c:pt>
                <c:pt idx="57">
                  <c:v>2013.5665546584939</c:v>
                </c:pt>
                <c:pt idx="58">
                  <c:v>2006.0465927317236</c:v>
                </c:pt>
                <c:pt idx="59">
                  <c:v>1998.5826150743248</c:v>
                </c:pt>
                <c:pt idx="60">
                  <c:v>1991.1739985524116</c:v>
                </c:pt>
                <c:pt idx="61">
                  <c:v>1983.8201292495692</c:v>
                </c:pt>
                <c:pt idx="62">
                  <c:v>1976.5204022969822</c:v>
                </c:pt>
                <c:pt idx="63">
                  <c:v>1969.2742217073016</c:v>
                </c:pt>
                <c:pt idx="64">
                  <c:v>1962.0810002121652</c:v>
                </c:pt>
                <c:pt idx="65">
                  <c:v>1954.9401591032638</c:v>
                </c:pt>
                <c:pt idx="66">
                  <c:v>1947.8511280768885</c:v>
                </c:pt>
                <c:pt idx="67">
                  <c:v>1940.8133450818391</c:v>
                </c:pt>
                <c:pt idx="68">
                  <c:v>1933.826256170634</c:v>
                </c:pt>
                <c:pt idx="69">
                  <c:v>1926.889315353925</c:v>
                </c:pt>
                <c:pt idx="70">
                  <c:v>1920.0019844580438</c:v>
                </c:pt>
                <c:pt idx="71">
                  <c:v>1913.1637329855953</c:v>
                </c:pt>
                <c:pt idx="72">
                  <c:v>1906.3740379790279</c:v>
                </c:pt>
                <c:pt idx="73">
                  <c:v>1899.6323838871033</c:v>
                </c:pt>
                <c:pt idx="74">
                  <c:v>1892.9382624341902</c:v>
                </c:pt>
                <c:pt idx="75">
                  <c:v>1886.291172492334</c:v>
                </c:pt>
                <c:pt idx="76">
                  <c:v>1879.6906199559928</c:v>
                </c:pt>
                <c:pt idx="77">
                  <c:v>1873.1361176194202</c:v>
                </c:pt>
                <c:pt idx="78">
                  <c:v>1866.6271850566</c:v>
                </c:pt>
                <c:pt idx="79">
                  <c:v>1860.16334850368</c:v>
                </c:pt>
                <c:pt idx="80">
                  <c:v>1853.7441407438473</c:v>
                </c:pt>
                <c:pt idx="81">
                  <c:v>1847.3691009945831</c:v>
                </c:pt>
                <c:pt idx="82">
                  <c:v>1841.0377747972416</c:v>
                </c:pt>
                <c:pt idx="83">
                  <c:v>1834.7497139088898</c:v>
                </c:pt>
                <c:pt idx="84">
                  <c:v>1828.5044761963684</c:v>
                </c:pt>
                <c:pt idx="85">
                  <c:v>1822.3016255325078</c:v>
                </c:pt>
                <c:pt idx="86">
                  <c:v>1816.1407316944542</c:v>
                </c:pt>
                <c:pt idx="87">
                  <c:v>1810.0213702640572</c:v>
                </c:pt>
                <c:pt idx="88">
                  <c:v>1803.943122530261</c:v>
                </c:pt>
                <c:pt idx="89">
                  <c:v>1797.9055753934726</c:v>
                </c:pt>
                <c:pt idx="90">
                  <c:v>1791.9083212718303</c:v>
                </c:pt>
                <c:pt idx="91">
                  <c:v>1785.9509580093597</c:v>
                </c:pt>
                <c:pt idx="92">
                  <c:v>1780.0330887859523</c:v>
                </c:pt>
                <c:pt idx="93">
                  <c:v>1774.1543220291285</c:v>
                </c:pt>
                <c:pt idx="94">
                  <c:v>1768.3142713275533</c:v>
                </c:pt>
                <c:pt idx="95">
                  <c:v>1762.512555346254</c:v>
                </c:pt>
                <c:pt idx="96">
                  <c:v>1756.7487977434973</c:v>
                </c:pt>
                <c:pt idx="97">
                  <c:v>1751.0226270893122</c:v>
                </c:pt>
                <c:pt idx="98">
                  <c:v>1745.3336767855844</c:v>
                </c:pt>
                <c:pt idx="99">
                  <c:v>1739.6815849877189</c:v>
                </c:pt>
                <c:pt idx="100">
                  <c:v>1734.0659945278162</c:v>
                </c:pt>
                <c:pt idx="101">
                  <c:v>1728.4865528393352</c:v>
                </c:pt>
                <c:pt idx="102">
                  <c:v>1722.9429118832118</c:v>
                </c:pt>
                <c:pt idx="103">
                  <c:v>1717.4347280753923</c:v>
                </c:pt>
                <c:pt idx="104">
                  <c:v>1711.9616622157546</c:v>
                </c:pt>
                <c:pt idx="105">
                  <c:v>1706.5233794183923</c:v>
                </c:pt>
                <c:pt idx="106">
                  <c:v>1701.1195490432153</c:v>
                </c:pt>
                <c:pt idx="107">
                  <c:v>1695.7498446288612</c:v>
                </c:pt>
                <c:pt idx="108">
                  <c:v>1690.4139438268614</c:v>
                </c:pt>
                <c:pt idx="109">
                  <c:v>1685.1115283370589</c:v>
                </c:pt>
                <c:pt idx="110">
                  <c:v>1679.842283844232</c:v>
                </c:pt>
                <c:pt idx="111">
                  <c:v>1674.6058999559129</c:v>
                </c:pt>
                <c:pt idx="112">
                  <c:v>1669.4020701413594</c:v>
                </c:pt>
                <c:pt idx="113">
                  <c:v>1664.2304916716691</c:v>
                </c:pt>
                <c:pt idx="114">
                  <c:v>1659.0908655609992</c:v>
                </c:pt>
                <c:pt idx="115">
                  <c:v>1653.9828965088807</c:v>
                </c:pt>
                <c:pt idx="116">
                  <c:v>1648.9062928435899</c:v>
                </c:pt>
                <c:pt idx="117">
                  <c:v>1643.8607664665649</c:v>
                </c:pt>
                <c:pt idx="118">
                  <c:v>1638.8460327978387</c:v>
                </c:pt>
                <c:pt idx="119">
                  <c:v>1633.861810722474</c:v>
                </c:pt>
                <c:pt idx="120">
                  <c:v>1628.9078225379685</c:v>
                </c:pt>
                <c:pt idx="121">
                  <c:v>1623.9837939026154</c:v>
                </c:pt>
                <c:pt idx="122">
                  <c:v>1619.089453784806</c:v>
                </c:pt>
                <c:pt idx="123">
                  <c:v>1614.2245344132396</c:v>
                </c:pt>
                <c:pt idx="124">
                  <c:v>1609.3887712280341</c:v>
                </c:pt>
                <c:pt idx="125">
                  <c:v>1604.5819028327121</c:v>
                </c:pt>
                <c:pt idx="126">
                  <c:v>1599.8036709470484</c:v>
                </c:pt>
                <c:pt idx="127">
                  <c:v>1595.0538203607562</c:v>
                </c:pt>
                <c:pt idx="128">
                  <c:v>1590.3320988879957</c:v>
                </c:pt>
                <c:pt idx="129">
                  <c:v>1585.6382573226958</c:v>
                </c:pt>
                <c:pt idx="130">
                  <c:v>1580.9720493946584</c:v>
                </c:pt>
                <c:pt idx="131">
                  <c:v>1576.3332317264387</c:v>
                </c:pt>
                <c:pt idx="132">
                  <c:v>1571.7215637909919</c:v>
                </c:pt>
                <c:pt idx="133">
                  <c:v>1567.1368078700425</c:v>
                </c:pt>
                <c:pt idx="134">
                  <c:v>1562.5787290132039</c:v>
                </c:pt>
                <c:pt idx="135">
                  <c:v>1558.0470949977953</c:v>
                </c:pt>
                <c:pt idx="136">
                  <c:v>1553.5416762893601</c:v>
                </c:pt>
                <c:pt idx="137">
                  <c:v>1549.0622460028721</c:v>
                </c:pt>
                <c:pt idx="138">
                  <c:v>1544.6085798646077</c:v>
                </c:pt>
                <c:pt idx="139">
                  <c:v>1540.1804561746744</c:v>
                </c:pt>
                <c:pt idx="140">
                  <c:v>1535.7776557701866</c:v>
                </c:pt>
                <c:pt idx="141">
                  <c:v>1531.3999619890694</c:v>
                </c:pt>
                <c:pt idx="142">
                  <c:v>1527.0471606344795</c:v>
                </c:pt>
                <c:pt idx="143">
                  <c:v>1522.719039939836</c:v>
                </c:pt>
                <c:pt idx="144">
                  <c:v>1518.4153905344403</c:v>
                </c:pt>
                <c:pt idx="145">
                  <c:v>1514.1360054096808</c:v>
                </c:pt>
                <c:pt idx="146">
                  <c:v>1509.8806798858075</c:v>
                </c:pt>
                <c:pt idx="147">
                  <c:v>1505.6492115792651</c:v>
                </c:pt>
              </c:numCache>
            </c:numRef>
          </c:yVal>
          <c:smooth val="1"/>
        </c:ser>
        <c:ser>
          <c:idx val="3"/>
          <c:order val="3"/>
          <c:tx>
            <c:v>SC_EXP</c:v>
          </c:tx>
          <c:marker>
            <c:symbol val="none"/>
          </c:marker>
          <c:xVal>
            <c:numRef>
              <c:f>'Structure A'!$A$4:$A$151</c:f>
              <c:numCache>
                <c:formatCode>General</c:formatCode>
                <c:ptCount val="148"/>
                <c:pt idx="0">
                  <c:v>210</c:v>
                </c:pt>
                <c:pt idx="1">
                  <c:v>211</c:v>
                </c:pt>
                <c:pt idx="2">
                  <c:v>212</c:v>
                </c:pt>
                <c:pt idx="3">
                  <c:v>213</c:v>
                </c:pt>
                <c:pt idx="4">
                  <c:v>214</c:v>
                </c:pt>
                <c:pt idx="5">
                  <c:v>215</c:v>
                </c:pt>
                <c:pt idx="6">
                  <c:v>216</c:v>
                </c:pt>
                <c:pt idx="7">
                  <c:v>217</c:v>
                </c:pt>
                <c:pt idx="8">
                  <c:v>218</c:v>
                </c:pt>
                <c:pt idx="9">
                  <c:v>219</c:v>
                </c:pt>
                <c:pt idx="10">
                  <c:v>220</c:v>
                </c:pt>
                <c:pt idx="11">
                  <c:v>221</c:v>
                </c:pt>
                <c:pt idx="12">
                  <c:v>222</c:v>
                </c:pt>
                <c:pt idx="13">
                  <c:v>223</c:v>
                </c:pt>
                <c:pt idx="14">
                  <c:v>224</c:v>
                </c:pt>
                <c:pt idx="15">
                  <c:v>225</c:v>
                </c:pt>
                <c:pt idx="16">
                  <c:v>226</c:v>
                </c:pt>
                <c:pt idx="17">
                  <c:v>227</c:v>
                </c:pt>
                <c:pt idx="18">
                  <c:v>228</c:v>
                </c:pt>
                <c:pt idx="19">
                  <c:v>229</c:v>
                </c:pt>
                <c:pt idx="20">
                  <c:v>230</c:v>
                </c:pt>
                <c:pt idx="21">
                  <c:v>231</c:v>
                </c:pt>
                <c:pt idx="22">
                  <c:v>232</c:v>
                </c:pt>
                <c:pt idx="23">
                  <c:v>233</c:v>
                </c:pt>
                <c:pt idx="24">
                  <c:v>234</c:v>
                </c:pt>
                <c:pt idx="25">
                  <c:v>235</c:v>
                </c:pt>
                <c:pt idx="26">
                  <c:v>236</c:v>
                </c:pt>
                <c:pt idx="27">
                  <c:v>237</c:v>
                </c:pt>
                <c:pt idx="28">
                  <c:v>238</c:v>
                </c:pt>
                <c:pt idx="29">
                  <c:v>239</c:v>
                </c:pt>
                <c:pt idx="30">
                  <c:v>240</c:v>
                </c:pt>
                <c:pt idx="31">
                  <c:v>241</c:v>
                </c:pt>
                <c:pt idx="32">
                  <c:v>242</c:v>
                </c:pt>
                <c:pt idx="33">
                  <c:v>243</c:v>
                </c:pt>
                <c:pt idx="34">
                  <c:v>244</c:v>
                </c:pt>
                <c:pt idx="35">
                  <c:v>245</c:v>
                </c:pt>
                <c:pt idx="36">
                  <c:v>246</c:v>
                </c:pt>
                <c:pt idx="37">
                  <c:v>247</c:v>
                </c:pt>
                <c:pt idx="38">
                  <c:v>248</c:v>
                </c:pt>
                <c:pt idx="39">
                  <c:v>249</c:v>
                </c:pt>
                <c:pt idx="40">
                  <c:v>250</c:v>
                </c:pt>
                <c:pt idx="41">
                  <c:v>251</c:v>
                </c:pt>
                <c:pt idx="42">
                  <c:v>252</c:v>
                </c:pt>
                <c:pt idx="43">
                  <c:v>253</c:v>
                </c:pt>
                <c:pt idx="44">
                  <c:v>254</c:v>
                </c:pt>
                <c:pt idx="45">
                  <c:v>255</c:v>
                </c:pt>
                <c:pt idx="46">
                  <c:v>256</c:v>
                </c:pt>
                <c:pt idx="47">
                  <c:v>257</c:v>
                </c:pt>
                <c:pt idx="48">
                  <c:v>258</c:v>
                </c:pt>
                <c:pt idx="49">
                  <c:v>259</c:v>
                </c:pt>
                <c:pt idx="50">
                  <c:v>260</c:v>
                </c:pt>
                <c:pt idx="51">
                  <c:v>261</c:v>
                </c:pt>
                <c:pt idx="52">
                  <c:v>262</c:v>
                </c:pt>
                <c:pt idx="53">
                  <c:v>263</c:v>
                </c:pt>
                <c:pt idx="54">
                  <c:v>264</c:v>
                </c:pt>
                <c:pt idx="55">
                  <c:v>265</c:v>
                </c:pt>
                <c:pt idx="56">
                  <c:v>266</c:v>
                </c:pt>
                <c:pt idx="57">
                  <c:v>267</c:v>
                </c:pt>
                <c:pt idx="58">
                  <c:v>268</c:v>
                </c:pt>
                <c:pt idx="59">
                  <c:v>269</c:v>
                </c:pt>
                <c:pt idx="60">
                  <c:v>270</c:v>
                </c:pt>
                <c:pt idx="61">
                  <c:v>271</c:v>
                </c:pt>
                <c:pt idx="62">
                  <c:v>272</c:v>
                </c:pt>
                <c:pt idx="63">
                  <c:v>273</c:v>
                </c:pt>
                <c:pt idx="64">
                  <c:v>274</c:v>
                </c:pt>
                <c:pt idx="65">
                  <c:v>275</c:v>
                </c:pt>
                <c:pt idx="66">
                  <c:v>276</c:v>
                </c:pt>
                <c:pt idx="67">
                  <c:v>277</c:v>
                </c:pt>
                <c:pt idx="68">
                  <c:v>278</c:v>
                </c:pt>
                <c:pt idx="69">
                  <c:v>279</c:v>
                </c:pt>
                <c:pt idx="70">
                  <c:v>280</c:v>
                </c:pt>
                <c:pt idx="71">
                  <c:v>281</c:v>
                </c:pt>
                <c:pt idx="72">
                  <c:v>282</c:v>
                </c:pt>
                <c:pt idx="73">
                  <c:v>283</c:v>
                </c:pt>
                <c:pt idx="74">
                  <c:v>284</c:v>
                </c:pt>
                <c:pt idx="75">
                  <c:v>285</c:v>
                </c:pt>
                <c:pt idx="76">
                  <c:v>286</c:v>
                </c:pt>
                <c:pt idx="77">
                  <c:v>287</c:v>
                </c:pt>
                <c:pt idx="78">
                  <c:v>288</c:v>
                </c:pt>
                <c:pt idx="79">
                  <c:v>289</c:v>
                </c:pt>
                <c:pt idx="80">
                  <c:v>290</c:v>
                </c:pt>
                <c:pt idx="81">
                  <c:v>291</c:v>
                </c:pt>
                <c:pt idx="82">
                  <c:v>292</c:v>
                </c:pt>
                <c:pt idx="83">
                  <c:v>293</c:v>
                </c:pt>
                <c:pt idx="84">
                  <c:v>294</c:v>
                </c:pt>
                <c:pt idx="85">
                  <c:v>295</c:v>
                </c:pt>
                <c:pt idx="86">
                  <c:v>296</c:v>
                </c:pt>
                <c:pt idx="87">
                  <c:v>297</c:v>
                </c:pt>
                <c:pt idx="88">
                  <c:v>298</c:v>
                </c:pt>
                <c:pt idx="89">
                  <c:v>299</c:v>
                </c:pt>
                <c:pt idx="90">
                  <c:v>300</c:v>
                </c:pt>
                <c:pt idx="91">
                  <c:v>301</c:v>
                </c:pt>
                <c:pt idx="92">
                  <c:v>302</c:v>
                </c:pt>
                <c:pt idx="93">
                  <c:v>303</c:v>
                </c:pt>
                <c:pt idx="94">
                  <c:v>304</c:v>
                </c:pt>
                <c:pt idx="95">
                  <c:v>305</c:v>
                </c:pt>
                <c:pt idx="96">
                  <c:v>306</c:v>
                </c:pt>
                <c:pt idx="97">
                  <c:v>307</c:v>
                </c:pt>
                <c:pt idx="98">
                  <c:v>308</c:v>
                </c:pt>
                <c:pt idx="99">
                  <c:v>309</c:v>
                </c:pt>
                <c:pt idx="100">
                  <c:v>310</c:v>
                </c:pt>
                <c:pt idx="101">
                  <c:v>311</c:v>
                </c:pt>
                <c:pt idx="102">
                  <c:v>312</c:v>
                </c:pt>
                <c:pt idx="103">
                  <c:v>313</c:v>
                </c:pt>
                <c:pt idx="104">
                  <c:v>314</c:v>
                </c:pt>
                <c:pt idx="105">
                  <c:v>315</c:v>
                </c:pt>
                <c:pt idx="106">
                  <c:v>316</c:v>
                </c:pt>
                <c:pt idx="107">
                  <c:v>317</c:v>
                </c:pt>
                <c:pt idx="108">
                  <c:v>318</c:v>
                </c:pt>
                <c:pt idx="109">
                  <c:v>319</c:v>
                </c:pt>
                <c:pt idx="110">
                  <c:v>320</c:v>
                </c:pt>
                <c:pt idx="111">
                  <c:v>321</c:v>
                </c:pt>
                <c:pt idx="112">
                  <c:v>322</c:v>
                </c:pt>
                <c:pt idx="113">
                  <c:v>323</c:v>
                </c:pt>
                <c:pt idx="114">
                  <c:v>324</c:v>
                </c:pt>
                <c:pt idx="115">
                  <c:v>325</c:v>
                </c:pt>
                <c:pt idx="116">
                  <c:v>326</c:v>
                </c:pt>
                <c:pt idx="117">
                  <c:v>327</c:v>
                </c:pt>
                <c:pt idx="118">
                  <c:v>328</c:v>
                </c:pt>
                <c:pt idx="119">
                  <c:v>329</c:v>
                </c:pt>
                <c:pt idx="120">
                  <c:v>330</c:v>
                </c:pt>
                <c:pt idx="121">
                  <c:v>331</c:v>
                </c:pt>
                <c:pt idx="122">
                  <c:v>332</c:v>
                </c:pt>
                <c:pt idx="123">
                  <c:v>333</c:v>
                </c:pt>
                <c:pt idx="124">
                  <c:v>334</c:v>
                </c:pt>
                <c:pt idx="125">
                  <c:v>335</c:v>
                </c:pt>
                <c:pt idx="126">
                  <c:v>336</c:v>
                </c:pt>
                <c:pt idx="127">
                  <c:v>337</c:v>
                </c:pt>
                <c:pt idx="128">
                  <c:v>338</c:v>
                </c:pt>
                <c:pt idx="129">
                  <c:v>339</c:v>
                </c:pt>
                <c:pt idx="130">
                  <c:v>340</c:v>
                </c:pt>
                <c:pt idx="131">
                  <c:v>341</c:v>
                </c:pt>
                <c:pt idx="132">
                  <c:v>342</c:v>
                </c:pt>
                <c:pt idx="133">
                  <c:v>343</c:v>
                </c:pt>
                <c:pt idx="134">
                  <c:v>344</c:v>
                </c:pt>
                <c:pt idx="135">
                  <c:v>345</c:v>
                </c:pt>
                <c:pt idx="136">
                  <c:v>346</c:v>
                </c:pt>
                <c:pt idx="137">
                  <c:v>347</c:v>
                </c:pt>
                <c:pt idx="138">
                  <c:v>348</c:v>
                </c:pt>
                <c:pt idx="139">
                  <c:v>349</c:v>
                </c:pt>
                <c:pt idx="140">
                  <c:v>350</c:v>
                </c:pt>
                <c:pt idx="141">
                  <c:v>351</c:v>
                </c:pt>
                <c:pt idx="142">
                  <c:v>352</c:v>
                </c:pt>
                <c:pt idx="143">
                  <c:v>353</c:v>
                </c:pt>
                <c:pt idx="144">
                  <c:v>354</c:v>
                </c:pt>
                <c:pt idx="145">
                  <c:v>355</c:v>
                </c:pt>
                <c:pt idx="146">
                  <c:v>356</c:v>
                </c:pt>
                <c:pt idx="147">
                  <c:v>357</c:v>
                </c:pt>
              </c:numCache>
            </c:numRef>
          </c:xVal>
          <c:yVal>
            <c:numRef>
              <c:f>'Structure A'!$M$4:$M$151</c:f>
              <c:numCache>
                <c:formatCode>General</c:formatCode>
                <c:ptCount val="148"/>
                <c:pt idx="0">
                  <c:v>1407.3504759918001</c:v>
                </c:pt>
                <c:pt idx="1">
                  <c:v>1400.6710394528136</c:v>
                </c:pt>
                <c:pt idx="2">
                  <c:v>1394.0547502949507</c:v>
                </c:pt>
                <c:pt idx="3">
                  <c:v>1387.5007166244111</c:v>
                </c:pt>
                <c:pt idx="4">
                  <c:v>1381.0080632761292</c:v>
                </c:pt>
                <c:pt idx="5">
                  <c:v>1374.5759314231345</c:v>
                </c:pt>
                <c:pt idx="6">
                  <c:v>1368.2034781968125</c:v>
                </c:pt>
                <c:pt idx="7">
                  <c:v>1361.8898763177137</c:v>
                </c:pt>
                <c:pt idx="8">
                  <c:v>1355.6343137365743</c:v>
                </c:pt>
                <c:pt idx="9">
                  <c:v>1349.435993285213</c:v>
                </c:pt>
                <c:pt idx="10">
                  <c:v>1343.2941323369962</c:v>
                </c:pt>
                <c:pt idx="11">
                  <c:v>1337.207962476562</c:v>
                </c:pt>
                <c:pt idx="12">
                  <c:v>1331.1767291785095</c:v>
                </c:pt>
                <c:pt idx="13">
                  <c:v>1325.199691494772</c:v>
                </c:pt>
                <c:pt idx="14">
                  <c:v>1319.2761217504046</c:v>
                </c:pt>
                <c:pt idx="15">
                  <c:v>1313.4053052475131</c:v>
                </c:pt>
                <c:pt idx="16">
                  <c:v>1307.5865399770828</c:v>
                </c:pt>
                <c:pt idx="17">
                  <c:v>1301.8191363384558</c:v>
                </c:pt>
                <c:pt idx="18">
                  <c:v>1296.1024168662198</c:v>
                </c:pt>
                <c:pt idx="19">
                  <c:v>1290.4357159642832</c:v>
                </c:pt>
                <c:pt idx="20">
                  <c:v>1284.8183796469223</c:v>
                </c:pt>
                <c:pt idx="21">
                  <c:v>1279.2497652865725</c:v>
                </c:pt>
                <c:pt idx="22">
                  <c:v>1273.7292413681751</c:v>
                </c:pt>
                <c:pt idx="23">
                  <c:v>1268.25618724988</c:v>
                </c:pt>
                <c:pt idx="24">
                  <c:v>1262.8299929298962</c:v>
                </c:pt>
                <c:pt idx="25">
                  <c:v>1257.4500588193314</c:v>
                </c:pt>
                <c:pt idx="26">
                  <c:v>1252.1157955208271</c:v>
                </c:pt>
                <c:pt idx="27">
                  <c:v>1246.8266236128115</c:v>
                </c:pt>
                <c:pt idx="28">
                  <c:v>1241.5819734392257</c:v>
                </c:pt>
                <c:pt idx="29">
                  <c:v>1236.3812849045391</c:v>
                </c:pt>
                <c:pt idx="30">
                  <c:v>1231.2240072739153</c:v>
                </c:pt>
                <c:pt idx="31">
                  <c:v>1226.1095989783671</c:v>
                </c:pt>
                <c:pt idx="32">
                  <c:v>1221.037527424766</c:v>
                </c:pt>
                <c:pt idx="33">
                  <c:v>1216.0072688105549</c:v>
                </c:pt>
                <c:pt idx="34">
                  <c:v>1211.0183079430396</c:v>
                </c:pt>
                <c:pt idx="35">
                  <c:v>1206.0701380631181</c:v>
                </c:pt>
                <c:pt idx="36">
                  <c:v>1201.1622606733258</c:v>
                </c:pt>
                <c:pt idx="37">
                  <c:v>1196.2941853700743</c:v>
                </c:pt>
                <c:pt idx="38">
                  <c:v>1191.4654296799624</c:v>
                </c:pt>
                <c:pt idx="39">
                  <c:v>1186.675518900046</c:v>
                </c:pt>
                <c:pt idx="40">
                  <c:v>1181.9239859419545</c:v>
                </c:pt>
                <c:pt idx="41">
                  <c:v>1177.210371179747</c:v>
                </c:pt>
                <c:pt idx="42">
                  <c:v>1172.5342223014061</c:v>
                </c:pt>
                <c:pt idx="43">
                  <c:v>1167.8950941638593</c:v>
                </c:pt>
                <c:pt idx="44">
                  <c:v>1163.2925486514441</c:v>
                </c:pt>
                <c:pt idx="45">
                  <c:v>1158.7261545377114</c:v>
                </c:pt>
                <c:pt idx="46">
                  <c:v>1154.1954873504778</c:v>
                </c:pt>
                <c:pt idx="47">
                  <c:v>1149.700129240041</c:v>
                </c:pt>
                <c:pt idx="48">
                  <c:v>1145.23966885047</c:v>
                </c:pt>
                <c:pt idx="49">
                  <c:v>1140.8137011938848</c:v>
                </c:pt>
                <c:pt idx="50">
                  <c:v>1136.421827527651</c:v>
                </c:pt>
                <c:pt idx="51">
                  <c:v>1132.0636552344013</c:v>
                </c:pt>
                <c:pt idx="52">
                  <c:v>1127.7387977048181</c:v>
                </c:pt>
                <c:pt idx="53">
                  <c:v>1123.446874223097</c:v>
                </c:pt>
                <c:pt idx="54">
                  <c:v>1119.1875098550217</c:v>
                </c:pt>
                <c:pt idx="55">
                  <c:v>1114.9603353385803</c:v>
                </c:pt>
                <c:pt idx="56">
                  <c:v>1110.764986977058</c:v>
                </c:pt>
                <c:pt idx="57">
                  <c:v>1106.6011065345399</c:v>
                </c:pt>
                <c:pt idx="58">
                  <c:v>1102.4683411337592</c:v>
                </c:pt>
                <c:pt idx="59">
                  <c:v>1098.3663431562318</c:v>
                </c:pt>
                <c:pt idx="60">
                  <c:v>1094.294770144616</c:v>
                </c:pt>
                <c:pt idx="61">
                  <c:v>1090.2532847072423</c:v>
                </c:pt>
                <c:pt idx="62">
                  <c:v>1086.2415544247519</c:v>
                </c:pt>
                <c:pt idx="63">
                  <c:v>1082.2592517587996</c:v>
                </c:pt>
                <c:pt idx="64">
                  <c:v>1078.3060539627538</c:v>
                </c:pt>
                <c:pt idx="65">
                  <c:v>1074.3816429943579</c:v>
                </c:pt>
                <c:pt idx="66">
                  <c:v>1070.4857054302902</c:v>
                </c:pt>
                <c:pt idx="67">
                  <c:v>1066.6179323825834</c:v>
                </c:pt>
                <c:pt idx="68">
                  <c:v>1062.7780194168529</c:v>
                </c:pt>
                <c:pt idx="69">
                  <c:v>1058.9656664722854</c:v>
                </c:pt>
                <c:pt idx="70">
                  <c:v>1055.1805777833524</c:v>
                </c:pt>
                <c:pt idx="71">
                  <c:v>1051.4224618031949</c:v>
                </c:pt>
                <c:pt idx="72">
                  <c:v>1047.6910311286456</c:v>
                </c:pt>
                <c:pt idx="73">
                  <c:v>1043.9860024268439</c:v>
                </c:pt>
                <c:pt idx="74">
                  <c:v>1040.3070963634057</c:v>
                </c:pt>
                <c:pt idx="75">
                  <c:v>1036.6540375321119</c:v>
                </c:pt>
                <c:pt idx="76">
                  <c:v>1033.0265543860714</c:v>
                </c:pt>
                <c:pt idx="77">
                  <c:v>1029.4243791703311</c:v>
                </c:pt>
                <c:pt idx="78">
                  <c:v>1025.8472478558922</c:v>
                </c:pt>
                <c:pt idx="79">
                  <c:v>1022.2949000750993</c:v>
                </c:pt>
                <c:pt idx="80">
                  <c:v>1018.7670790583707</c:v>
                </c:pt>
                <c:pt idx="81">
                  <c:v>1015.2635315722366</c:v>
                </c:pt>
                <c:pt idx="82">
                  <c:v>1011.7840078586552</c:v>
                </c:pt>
                <c:pt idx="83">
                  <c:v>1008.3282615755691</c:v>
                </c:pt>
                <c:pt idx="84">
                  <c:v>1004.896049738688</c:v>
                </c:pt>
                <c:pt idx="85">
                  <c:v>1001.4871326644467</c:v>
                </c:pt>
                <c:pt idx="86">
                  <c:v>998.10127391413164</c:v>
                </c:pt>
                <c:pt idx="87">
                  <c:v>994.73824023913573</c:v>
                </c:pt>
                <c:pt idx="88">
                  <c:v>991.39780152731453</c:v>
                </c:pt>
                <c:pt idx="89">
                  <c:v>988.07973075042992</c:v>
                </c:pt>
                <c:pt idx="90">
                  <c:v>984.78380391263829</c:v>
                </c:pt>
                <c:pt idx="91">
                  <c:v>981.50980000001573</c:v>
                </c:pt>
                <c:pt idx="92">
                  <c:v>978.2575009310832</c:v>
                </c:pt>
                <c:pt idx="93">
                  <c:v>975.02669150831593</c:v>
                </c:pt>
                <c:pt idx="94">
                  <c:v>971.8171593706129</c:v>
                </c:pt>
                <c:pt idx="95">
                  <c:v>968.6286949467019</c:v>
                </c:pt>
                <c:pt idx="96">
                  <c:v>965.46109140946044</c:v>
                </c:pt>
                <c:pt idx="97">
                  <c:v>962.31414463113492</c:v>
                </c:pt>
                <c:pt idx="98">
                  <c:v>959.18765313942822</c:v>
                </c:pt>
                <c:pt idx="99">
                  <c:v>956.08141807444736</c:v>
                </c:pt>
                <c:pt idx="100">
                  <c:v>952.99524314648352</c:v>
                </c:pt>
                <c:pt idx="101">
                  <c:v>949.92893459460902</c:v>
                </c:pt>
                <c:pt idx="102">
                  <c:v>946.88230114607279</c:v>
                </c:pt>
                <c:pt idx="103">
                  <c:v>943.85515397647634</c:v>
                </c:pt>
                <c:pt idx="104">
                  <c:v>940.84730667070994</c:v>
                </c:pt>
                <c:pt idx="105">
                  <c:v>937.85857518463763</c:v>
                </c:pt>
                <c:pt idx="106">
                  <c:v>934.88877780751079</c:v>
                </c:pt>
                <c:pt idx="107">
                  <c:v>931.93773512509222</c:v>
                </c:pt>
                <c:pt idx="108">
                  <c:v>929.00526998348039</c:v>
                </c:pt>
                <c:pt idx="109">
                  <c:v>926.0912074536144</c:v>
                </c:pt>
                <c:pt idx="110">
                  <c:v>923.19537479644532</c:v>
                </c:pt>
                <c:pt idx="111">
                  <c:v>920.31760142876237</c:v>
                </c:pt>
                <c:pt idx="112">
                  <c:v>917.45771888965317</c:v>
                </c:pt>
                <c:pt idx="113">
                  <c:v>914.6155608075926</c:v>
                </c:pt>
                <c:pt idx="114">
                  <c:v>911.79096286813899</c:v>
                </c:pt>
                <c:pt idx="115">
                  <c:v>908.98376278223111</c:v>
                </c:pt>
                <c:pt idx="116">
                  <c:v>906.19380025506712</c:v>
                </c:pt>
                <c:pt idx="117">
                  <c:v>903.42091695555678</c:v>
                </c:pt>
                <c:pt idx="118">
                  <c:v>900.66495648633372</c:v>
                </c:pt>
                <c:pt idx="119">
                  <c:v>897.92576435431693</c:v>
                </c:pt>
                <c:pt idx="120">
                  <c:v>895.20318794180673</c:v>
                </c:pt>
                <c:pt idx="121">
                  <c:v>892.49707647810408</c:v>
                </c:pt>
                <c:pt idx="122">
                  <c:v>889.80728101164982</c:v>
                </c:pt>
                <c:pt idx="123">
                  <c:v>887.13365438266089</c:v>
                </c:pt>
                <c:pt idx="124">
                  <c:v>884.47605119626144</c:v>
                </c:pt>
                <c:pt idx="125">
                  <c:v>881.83432779609745</c:v>
                </c:pt>
                <c:pt idx="126">
                  <c:v>879.20834223842064</c:v>
                </c:pt>
                <c:pt idx="127">
                  <c:v>876.59795426663777</c:v>
                </c:pt>
                <c:pt idx="128">
                  <c:v>874.0030252863088</c:v>
                </c:pt>
                <c:pt idx="129">
                  <c:v>871.42341834059266</c:v>
                </c:pt>
                <c:pt idx="130">
                  <c:v>868.85899808612419</c:v>
                </c:pt>
                <c:pt idx="131">
                  <c:v>866.30963076931664</c:v>
                </c:pt>
                <c:pt idx="132">
                  <c:v>863.77518420308377</c:v>
                </c:pt>
                <c:pt idx="133">
                  <c:v>861.25552774396363</c:v>
                </c:pt>
                <c:pt idx="134">
                  <c:v>858.75053226964974</c:v>
                </c:pt>
                <c:pt idx="135">
                  <c:v>856.26007015690811</c:v>
                </c:pt>
                <c:pt idx="136">
                  <c:v>853.78401525987908</c:v>
                </c:pt>
                <c:pt idx="137">
                  <c:v>851.32224288875818</c:v>
                </c:pt>
                <c:pt idx="138">
                  <c:v>848.87462978884025</c:v>
                </c:pt>
                <c:pt idx="139">
                  <c:v>846.4410541199278</c:v>
                </c:pt>
                <c:pt idx="140">
                  <c:v>844.02139543609405</c:v>
                </c:pt>
                <c:pt idx="141">
                  <c:v>841.61553466578766</c:v>
                </c:pt>
                <c:pt idx="142">
                  <c:v>839.22335409228242</c:v>
                </c:pt>
                <c:pt idx="143">
                  <c:v>836.84473733445691</c:v>
                </c:pt>
                <c:pt idx="144">
                  <c:v>834.4795693279018</c:v>
                </c:pt>
                <c:pt idx="145">
                  <c:v>832.12773630634592</c:v>
                </c:pt>
                <c:pt idx="146">
                  <c:v>829.7891257833968</c:v>
                </c:pt>
                <c:pt idx="147">
                  <c:v>827.46362653458755</c:v>
                </c:pt>
              </c:numCache>
            </c:numRef>
          </c:yVal>
          <c:smooth val="1"/>
        </c:ser>
        <c:dLbls>
          <c:showLegendKey val="0"/>
          <c:showVal val="0"/>
          <c:showCatName val="0"/>
          <c:showSerName val="0"/>
          <c:showPercent val="0"/>
          <c:showBubbleSize val="0"/>
        </c:dLbls>
        <c:axId val="281896880"/>
        <c:axId val="281894920"/>
      </c:scatterChart>
      <c:valAx>
        <c:axId val="281896880"/>
        <c:scaling>
          <c:orientation val="minMax"/>
        </c:scaling>
        <c:delete val="0"/>
        <c:axPos val="b"/>
        <c:title>
          <c:tx>
            <c:rich>
              <a:bodyPr/>
              <a:lstStyle/>
              <a:p>
                <a:pPr>
                  <a:defRPr/>
                </a:pPr>
                <a:r>
                  <a:rPr lang="en-US"/>
                  <a:t>Web Length (mm)</a:t>
                </a:r>
              </a:p>
            </c:rich>
          </c:tx>
          <c:layout>
            <c:manualLayout>
              <c:xMode val="edge"/>
              <c:yMode val="edge"/>
              <c:x val="0.39005000892820263"/>
              <c:y val="0.90832089131804195"/>
            </c:manualLayout>
          </c:layout>
          <c:overlay val="0"/>
        </c:title>
        <c:numFmt formatCode="General" sourceLinked="1"/>
        <c:majorTickMark val="out"/>
        <c:minorTickMark val="none"/>
        <c:tickLblPos val="nextTo"/>
        <c:crossAx val="281894920"/>
        <c:crosses val="autoZero"/>
        <c:crossBetween val="midCat"/>
      </c:valAx>
      <c:valAx>
        <c:axId val="281894920"/>
        <c:scaling>
          <c:orientation val="minMax"/>
        </c:scaling>
        <c:delete val="0"/>
        <c:axPos val="l"/>
        <c:majorGridlines>
          <c:spPr>
            <a:ln>
              <a:noFill/>
            </a:ln>
          </c:spPr>
        </c:majorGridlines>
        <c:title>
          <c:tx>
            <c:rich>
              <a:bodyPr rot="-5400000" vert="horz"/>
              <a:lstStyle/>
              <a:p>
                <a:pPr>
                  <a:defRPr/>
                </a:pPr>
                <a:r>
                  <a:rPr lang="en-US"/>
                  <a:t>Local Stress (MPa)</a:t>
                </a:r>
              </a:p>
            </c:rich>
          </c:tx>
          <c:layout>
            <c:manualLayout>
              <c:xMode val="edge"/>
              <c:yMode val="edge"/>
              <c:x val="1.0296100989859561E-2"/>
              <c:y val="0.29146143204919123"/>
            </c:manualLayout>
          </c:layout>
          <c:overlay val="0"/>
        </c:title>
        <c:numFmt formatCode="General" sourceLinked="1"/>
        <c:majorTickMark val="out"/>
        <c:minorTickMark val="none"/>
        <c:tickLblPos val="nextTo"/>
        <c:crossAx val="2818968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19165420420562"/>
          <c:y val="0.10066171718087073"/>
          <c:w val="0.74354089516409039"/>
          <c:h val="0.74675022252478085"/>
        </c:manualLayout>
      </c:layout>
      <c:scatterChart>
        <c:scatterStyle val="smoothMarker"/>
        <c:varyColors val="0"/>
        <c:ser>
          <c:idx val="0"/>
          <c:order val="0"/>
          <c:tx>
            <c:v>SL_SUS</c:v>
          </c:tx>
          <c:marker>
            <c:symbol val="none"/>
          </c:marker>
          <c:xVal>
            <c:numRef>
              <c:f>'Structure B'!$A$4:$A$151</c:f>
              <c:numCache>
                <c:formatCode>General</c:formatCode>
                <c:ptCount val="148"/>
                <c:pt idx="0">
                  <c:v>240</c:v>
                </c:pt>
                <c:pt idx="1">
                  <c:v>241</c:v>
                </c:pt>
                <c:pt idx="2">
                  <c:v>242</c:v>
                </c:pt>
                <c:pt idx="3">
                  <c:v>243</c:v>
                </c:pt>
                <c:pt idx="4">
                  <c:v>244</c:v>
                </c:pt>
                <c:pt idx="5">
                  <c:v>245</c:v>
                </c:pt>
                <c:pt idx="6">
                  <c:v>246</c:v>
                </c:pt>
                <c:pt idx="7">
                  <c:v>247</c:v>
                </c:pt>
                <c:pt idx="8">
                  <c:v>248</c:v>
                </c:pt>
                <c:pt idx="9">
                  <c:v>249</c:v>
                </c:pt>
                <c:pt idx="10">
                  <c:v>250</c:v>
                </c:pt>
                <c:pt idx="11">
                  <c:v>251</c:v>
                </c:pt>
                <c:pt idx="12">
                  <c:v>252</c:v>
                </c:pt>
                <c:pt idx="13">
                  <c:v>253</c:v>
                </c:pt>
                <c:pt idx="14">
                  <c:v>254</c:v>
                </c:pt>
                <c:pt idx="15">
                  <c:v>255</c:v>
                </c:pt>
                <c:pt idx="16">
                  <c:v>256</c:v>
                </c:pt>
                <c:pt idx="17">
                  <c:v>257</c:v>
                </c:pt>
                <c:pt idx="18">
                  <c:v>258</c:v>
                </c:pt>
                <c:pt idx="19">
                  <c:v>259</c:v>
                </c:pt>
                <c:pt idx="20">
                  <c:v>260</c:v>
                </c:pt>
                <c:pt idx="21">
                  <c:v>261</c:v>
                </c:pt>
                <c:pt idx="22">
                  <c:v>262</c:v>
                </c:pt>
                <c:pt idx="23">
                  <c:v>263</c:v>
                </c:pt>
                <c:pt idx="24">
                  <c:v>264</c:v>
                </c:pt>
                <c:pt idx="25">
                  <c:v>265</c:v>
                </c:pt>
                <c:pt idx="26">
                  <c:v>266</c:v>
                </c:pt>
                <c:pt idx="27">
                  <c:v>267</c:v>
                </c:pt>
                <c:pt idx="28">
                  <c:v>268</c:v>
                </c:pt>
                <c:pt idx="29">
                  <c:v>269</c:v>
                </c:pt>
                <c:pt idx="30">
                  <c:v>270</c:v>
                </c:pt>
                <c:pt idx="31">
                  <c:v>271</c:v>
                </c:pt>
                <c:pt idx="32">
                  <c:v>272</c:v>
                </c:pt>
                <c:pt idx="33">
                  <c:v>273</c:v>
                </c:pt>
                <c:pt idx="34">
                  <c:v>274</c:v>
                </c:pt>
                <c:pt idx="35">
                  <c:v>275</c:v>
                </c:pt>
                <c:pt idx="36">
                  <c:v>276</c:v>
                </c:pt>
                <c:pt idx="37">
                  <c:v>277</c:v>
                </c:pt>
                <c:pt idx="38">
                  <c:v>278</c:v>
                </c:pt>
                <c:pt idx="39">
                  <c:v>279</c:v>
                </c:pt>
                <c:pt idx="40">
                  <c:v>280</c:v>
                </c:pt>
                <c:pt idx="41">
                  <c:v>281</c:v>
                </c:pt>
                <c:pt idx="42">
                  <c:v>282</c:v>
                </c:pt>
                <c:pt idx="43">
                  <c:v>283</c:v>
                </c:pt>
                <c:pt idx="44">
                  <c:v>284</c:v>
                </c:pt>
                <c:pt idx="45">
                  <c:v>285</c:v>
                </c:pt>
                <c:pt idx="46">
                  <c:v>286</c:v>
                </c:pt>
                <c:pt idx="47">
                  <c:v>287</c:v>
                </c:pt>
                <c:pt idx="48">
                  <c:v>288</c:v>
                </c:pt>
                <c:pt idx="49">
                  <c:v>289</c:v>
                </c:pt>
                <c:pt idx="50">
                  <c:v>290</c:v>
                </c:pt>
                <c:pt idx="51">
                  <c:v>291</c:v>
                </c:pt>
                <c:pt idx="52">
                  <c:v>292</c:v>
                </c:pt>
                <c:pt idx="53">
                  <c:v>293</c:v>
                </c:pt>
                <c:pt idx="54">
                  <c:v>294</c:v>
                </c:pt>
                <c:pt idx="55">
                  <c:v>295</c:v>
                </c:pt>
                <c:pt idx="56">
                  <c:v>296</c:v>
                </c:pt>
                <c:pt idx="57">
                  <c:v>297</c:v>
                </c:pt>
                <c:pt idx="58">
                  <c:v>298</c:v>
                </c:pt>
                <c:pt idx="59">
                  <c:v>299</c:v>
                </c:pt>
                <c:pt idx="60">
                  <c:v>300</c:v>
                </c:pt>
                <c:pt idx="61">
                  <c:v>301</c:v>
                </c:pt>
                <c:pt idx="62">
                  <c:v>302</c:v>
                </c:pt>
                <c:pt idx="63">
                  <c:v>303</c:v>
                </c:pt>
                <c:pt idx="64">
                  <c:v>304</c:v>
                </c:pt>
                <c:pt idx="65">
                  <c:v>305</c:v>
                </c:pt>
                <c:pt idx="66">
                  <c:v>306</c:v>
                </c:pt>
                <c:pt idx="67">
                  <c:v>307</c:v>
                </c:pt>
                <c:pt idx="68">
                  <c:v>308</c:v>
                </c:pt>
                <c:pt idx="69">
                  <c:v>309</c:v>
                </c:pt>
                <c:pt idx="70">
                  <c:v>310</c:v>
                </c:pt>
                <c:pt idx="71">
                  <c:v>311</c:v>
                </c:pt>
                <c:pt idx="72">
                  <c:v>312</c:v>
                </c:pt>
                <c:pt idx="73">
                  <c:v>313</c:v>
                </c:pt>
                <c:pt idx="74">
                  <c:v>314</c:v>
                </c:pt>
                <c:pt idx="75">
                  <c:v>315</c:v>
                </c:pt>
                <c:pt idx="76">
                  <c:v>316</c:v>
                </c:pt>
                <c:pt idx="77">
                  <c:v>317</c:v>
                </c:pt>
                <c:pt idx="78">
                  <c:v>318</c:v>
                </c:pt>
                <c:pt idx="79">
                  <c:v>319</c:v>
                </c:pt>
                <c:pt idx="80">
                  <c:v>320</c:v>
                </c:pt>
                <c:pt idx="81">
                  <c:v>321</c:v>
                </c:pt>
                <c:pt idx="82">
                  <c:v>322</c:v>
                </c:pt>
                <c:pt idx="83">
                  <c:v>323</c:v>
                </c:pt>
                <c:pt idx="84">
                  <c:v>324</c:v>
                </c:pt>
                <c:pt idx="85">
                  <c:v>325</c:v>
                </c:pt>
                <c:pt idx="86">
                  <c:v>326</c:v>
                </c:pt>
                <c:pt idx="87">
                  <c:v>327</c:v>
                </c:pt>
                <c:pt idx="88">
                  <c:v>328</c:v>
                </c:pt>
                <c:pt idx="89">
                  <c:v>329</c:v>
                </c:pt>
                <c:pt idx="90">
                  <c:v>330</c:v>
                </c:pt>
                <c:pt idx="91">
                  <c:v>331</c:v>
                </c:pt>
                <c:pt idx="92">
                  <c:v>332</c:v>
                </c:pt>
                <c:pt idx="93">
                  <c:v>333</c:v>
                </c:pt>
                <c:pt idx="94">
                  <c:v>334</c:v>
                </c:pt>
                <c:pt idx="95">
                  <c:v>335</c:v>
                </c:pt>
                <c:pt idx="96">
                  <c:v>336</c:v>
                </c:pt>
                <c:pt idx="97">
                  <c:v>337</c:v>
                </c:pt>
                <c:pt idx="98">
                  <c:v>338</c:v>
                </c:pt>
                <c:pt idx="99">
                  <c:v>339</c:v>
                </c:pt>
                <c:pt idx="100">
                  <c:v>340</c:v>
                </c:pt>
                <c:pt idx="101">
                  <c:v>341</c:v>
                </c:pt>
                <c:pt idx="102">
                  <c:v>342</c:v>
                </c:pt>
                <c:pt idx="103">
                  <c:v>343</c:v>
                </c:pt>
                <c:pt idx="104">
                  <c:v>344</c:v>
                </c:pt>
                <c:pt idx="105">
                  <c:v>345</c:v>
                </c:pt>
                <c:pt idx="106">
                  <c:v>346</c:v>
                </c:pt>
                <c:pt idx="107">
                  <c:v>347</c:v>
                </c:pt>
                <c:pt idx="108">
                  <c:v>348</c:v>
                </c:pt>
                <c:pt idx="109">
                  <c:v>349</c:v>
                </c:pt>
                <c:pt idx="110">
                  <c:v>350</c:v>
                </c:pt>
                <c:pt idx="111">
                  <c:v>351</c:v>
                </c:pt>
                <c:pt idx="112">
                  <c:v>352</c:v>
                </c:pt>
                <c:pt idx="113">
                  <c:v>353</c:v>
                </c:pt>
                <c:pt idx="114">
                  <c:v>354</c:v>
                </c:pt>
                <c:pt idx="115">
                  <c:v>355</c:v>
                </c:pt>
                <c:pt idx="116">
                  <c:v>356</c:v>
                </c:pt>
                <c:pt idx="117">
                  <c:v>357</c:v>
                </c:pt>
                <c:pt idx="118">
                  <c:v>358</c:v>
                </c:pt>
                <c:pt idx="119">
                  <c:v>359</c:v>
                </c:pt>
                <c:pt idx="120">
                  <c:v>360</c:v>
                </c:pt>
                <c:pt idx="121">
                  <c:v>361</c:v>
                </c:pt>
                <c:pt idx="122">
                  <c:v>362</c:v>
                </c:pt>
                <c:pt idx="123">
                  <c:v>363</c:v>
                </c:pt>
                <c:pt idx="124">
                  <c:v>364</c:v>
                </c:pt>
                <c:pt idx="125">
                  <c:v>365</c:v>
                </c:pt>
                <c:pt idx="126">
                  <c:v>366</c:v>
                </c:pt>
                <c:pt idx="127">
                  <c:v>367</c:v>
                </c:pt>
                <c:pt idx="128">
                  <c:v>368</c:v>
                </c:pt>
                <c:pt idx="129">
                  <c:v>369</c:v>
                </c:pt>
                <c:pt idx="130">
                  <c:v>370</c:v>
                </c:pt>
                <c:pt idx="131">
                  <c:v>371</c:v>
                </c:pt>
                <c:pt idx="132">
                  <c:v>372</c:v>
                </c:pt>
                <c:pt idx="133">
                  <c:v>373</c:v>
                </c:pt>
                <c:pt idx="134">
                  <c:v>374</c:v>
                </c:pt>
                <c:pt idx="135">
                  <c:v>375</c:v>
                </c:pt>
                <c:pt idx="136">
                  <c:v>376</c:v>
                </c:pt>
                <c:pt idx="137">
                  <c:v>377</c:v>
                </c:pt>
                <c:pt idx="138">
                  <c:v>378</c:v>
                </c:pt>
                <c:pt idx="139">
                  <c:v>379</c:v>
                </c:pt>
                <c:pt idx="140">
                  <c:v>380</c:v>
                </c:pt>
                <c:pt idx="141">
                  <c:v>381</c:v>
                </c:pt>
                <c:pt idx="142">
                  <c:v>382</c:v>
                </c:pt>
                <c:pt idx="143">
                  <c:v>383</c:v>
                </c:pt>
                <c:pt idx="144">
                  <c:v>384</c:v>
                </c:pt>
                <c:pt idx="145">
                  <c:v>385</c:v>
                </c:pt>
                <c:pt idx="146">
                  <c:v>386</c:v>
                </c:pt>
                <c:pt idx="147">
                  <c:v>387</c:v>
                </c:pt>
              </c:numCache>
            </c:numRef>
          </c:xVal>
          <c:yVal>
            <c:numRef>
              <c:f>'Structure B'!$F$4:$F$151</c:f>
              <c:numCache>
                <c:formatCode>General</c:formatCode>
                <c:ptCount val="1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numCache>
            </c:numRef>
          </c:yVal>
          <c:smooth val="1"/>
        </c:ser>
        <c:ser>
          <c:idx val="1"/>
          <c:order val="1"/>
          <c:tx>
            <c:v>SC_SUS</c:v>
          </c:tx>
          <c:marker>
            <c:symbol val="none"/>
          </c:marker>
          <c:xVal>
            <c:numRef>
              <c:f>'Structure B'!$A$4:$A$151</c:f>
              <c:numCache>
                <c:formatCode>General</c:formatCode>
                <c:ptCount val="148"/>
                <c:pt idx="0">
                  <c:v>240</c:v>
                </c:pt>
                <c:pt idx="1">
                  <c:v>241</c:v>
                </c:pt>
                <c:pt idx="2">
                  <c:v>242</c:v>
                </c:pt>
                <c:pt idx="3">
                  <c:v>243</c:v>
                </c:pt>
                <c:pt idx="4">
                  <c:v>244</c:v>
                </c:pt>
                <c:pt idx="5">
                  <c:v>245</c:v>
                </c:pt>
                <c:pt idx="6">
                  <c:v>246</c:v>
                </c:pt>
                <c:pt idx="7">
                  <c:v>247</c:v>
                </c:pt>
                <c:pt idx="8">
                  <c:v>248</c:v>
                </c:pt>
                <c:pt idx="9">
                  <c:v>249</c:v>
                </c:pt>
                <c:pt idx="10">
                  <c:v>250</c:v>
                </c:pt>
                <c:pt idx="11">
                  <c:v>251</c:v>
                </c:pt>
                <c:pt idx="12">
                  <c:v>252</c:v>
                </c:pt>
                <c:pt idx="13">
                  <c:v>253</c:v>
                </c:pt>
                <c:pt idx="14">
                  <c:v>254</c:v>
                </c:pt>
                <c:pt idx="15">
                  <c:v>255</c:v>
                </c:pt>
                <c:pt idx="16">
                  <c:v>256</c:v>
                </c:pt>
                <c:pt idx="17">
                  <c:v>257</c:v>
                </c:pt>
                <c:pt idx="18">
                  <c:v>258</c:v>
                </c:pt>
                <c:pt idx="19">
                  <c:v>259</c:v>
                </c:pt>
                <c:pt idx="20">
                  <c:v>260</c:v>
                </c:pt>
                <c:pt idx="21">
                  <c:v>261</c:v>
                </c:pt>
                <c:pt idx="22">
                  <c:v>262</c:v>
                </c:pt>
                <c:pt idx="23">
                  <c:v>263</c:v>
                </c:pt>
                <c:pt idx="24">
                  <c:v>264</c:v>
                </c:pt>
                <c:pt idx="25">
                  <c:v>265</c:v>
                </c:pt>
                <c:pt idx="26">
                  <c:v>266</c:v>
                </c:pt>
                <c:pt idx="27">
                  <c:v>267</c:v>
                </c:pt>
                <c:pt idx="28">
                  <c:v>268</c:v>
                </c:pt>
                <c:pt idx="29">
                  <c:v>269</c:v>
                </c:pt>
                <c:pt idx="30">
                  <c:v>270</c:v>
                </c:pt>
                <c:pt idx="31">
                  <c:v>271</c:v>
                </c:pt>
                <c:pt idx="32">
                  <c:v>272</c:v>
                </c:pt>
                <c:pt idx="33">
                  <c:v>273</c:v>
                </c:pt>
                <c:pt idx="34">
                  <c:v>274</c:v>
                </c:pt>
                <c:pt idx="35">
                  <c:v>275</c:v>
                </c:pt>
                <c:pt idx="36">
                  <c:v>276</c:v>
                </c:pt>
                <c:pt idx="37">
                  <c:v>277</c:v>
                </c:pt>
                <c:pt idx="38">
                  <c:v>278</c:v>
                </c:pt>
                <c:pt idx="39">
                  <c:v>279</c:v>
                </c:pt>
                <c:pt idx="40">
                  <c:v>280</c:v>
                </c:pt>
                <c:pt idx="41">
                  <c:v>281</c:v>
                </c:pt>
                <c:pt idx="42">
                  <c:v>282</c:v>
                </c:pt>
                <c:pt idx="43">
                  <c:v>283</c:v>
                </c:pt>
                <c:pt idx="44">
                  <c:v>284</c:v>
                </c:pt>
                <c:pt idx="45">
                  <c:v>285</c:v>
                </c:pt>
                <c:pt idx="46">
                  <c:v>286</c:v>
                </c:pt>
                <c:pt idx="47">
                  <c:v>287</c:v>
                </c:pt>
                <c:pt idx="48">
                  <c:v>288</c:v>
                </c:pt>
                <c:pt idx="49">
                  <c:v>289</c:v>
                </c:pt>
                <c:pt idx="50">
                  <c:v>290</c:v>
                </c:pt>
                <c:pt idx="51">
                  <c:v>291</c:v>
                </c:pt>
                <c:pt idx="52">
                  <c:v>292</c:v>
                </c:pt>
                <c:pt idx="53">
                  <c:v>293</c:v>
                </c:pt>
                <c:pt idx="54">
                  <c:v>294</c:v>
                </c:pt>
                <c:pt idx="55">
                  <c:v>295</c:v>
                </c:pt>
                <c:pt idx="56">
                  <c:v>296</c:v>
                </c:pt>
                <c:pt idx="57">
                  <c:v>297</c:v>
                </c:pt>
                <c:pt idx="58">
                  <c:v>298</c:v>
                </c:pt>
                <c:pt idx="59">
                  <c:v>299</c:v>
                </c:pt>
                <c:pt idx="60">
                  <c:v>300</c:v>
                </c:pt>
                <c:pt idx="61">
                  <c:v>301</c:v>
                </c:pt>
                <c:pt idx="62">
                  <c:v>302</c:v>
                </c:pt>
                <c:pt idx="63">
                  <c:v>303</c:v>
                </c:pt>
                <c:pt idx="64">
                  <c:v>304</c:v>
                </c:pt>
                <c:pt idx="65">
                  <c:v>305</c:v>
                </c:pt>
                <c:pt idx="66">
                  <c:v>306</c:v>
                </c:pt>
                <c:pt idx="67">
                  <c:v>307</c:v>
                </c:pt>
                <c:pt idx="68">
                  <c:v>308</c:v>
                </c:pt>
                <c:pt idx="69">
                  <c:v>309</c:v>
                </c:pt>
                <c:pt idx="70">
                  <c:v>310</c:v>
                </c:pt>
                <c:pt idx="71">
                  <c:v>311</c:v>
                </c:pt>
                <c:pt idx="72">
                  <c:v>312</c:v>
                </c:pt>
                <c:pt idx="73">
                  <c:v>313</c:v>
                </c:pt>
                <c:pt idx="74">
                  <c:v>314</c:v>
                </c:pt>
                <c:pt idx="75">
                  <c:v>315</c:v>
                </c:pt>
                <c:pt idx="76">
                  <c:v>316</c:v>
                </c:pt>
                <c:pt idx="77">
                  <c:v>317</c:v>
                </c:pt>
                <c:pt idx="78">
                  <c:v>318</c:v>
                </c:pt>
                <c:pt idx="79">
                  <c:v>319</c:v>
                </c:pt>
                <c:pt idx="80">
                  <c:v>320</c:v>
                </c:pt>
                <c:pt idx="81">
                  <c:v>321</c:v>
                </c:pt>
                <c:pt idx="82">
                  <c:v>322</c:v>
                </c:pt>
                <c:pt idx="83">
                  <c:v>323</c:v>
                </c:pt>
                <c:pt idx="84">
                  <c:v>324</c:v>
                </c:pt>
                <c:pt idx="85">
                  <c:v>325</c:v>
                </c:pt>
                <c:pt idx="86">
                  <c:v>326</c:v>
                </c:pt>
                <c:pt idx="87">
                  <c:v>327</c:v>
                </c:pt>
                <c:pt idx="88">
                  <c:v>328</c:v>
                </c:pt>
                <c:pt idx="89">
                  <c:v>329</c:v>
                </c:pt>
                <c:pt idx="90">
                  <c:v>330</c:v>
                </c:pt>
                <c:pt idx="91">
                  <c:v>331</c:v>
                </c:pt>
                <c:pt idx="92">
                  <c:v>332</c:v>
                </c:pt>
                <c:pt idx="93">
                  <c:v>333</c:v>
                </c:pt>
                <c:pt idx="94">
                  <c:v>334</c:v>
                </c:pt>
                <c:pt idx="95">
                  <c:v>335</c:v>
                </c:pt>
                <c:pt idx="96">
                  <c:v>336</c:v>
                </c:pt>
                <c:pt idx="97">
                  <c:v>337</c:v>
                </c:pt>
                <c:pt idx="98">
                  <c:v>338</c:v>
                </c:pt>
                <c:pt idx="99">
                  <c:v>339</c:v>
                </c:pt>
                <c:pt idx="100">
                  <c:v>340</c:v>
                </c:pt>
                <c:pt idx="101">
                  <c:v>341</c:v>
                </c:pt>
                <c:pt idx="102">
                  <c:v>342</c:v>
                </c:pt>
                <c:pt idx="103">
                  <c:v>343</c:v>
                </c:pt>
                <c:pt idx="104">
                  <c:v>344</c:v>
                </c:pt>
                <c:pt idx="105">
                  <c:v>345</c:v>
                </c:pt>
                <c:pt idx="106">
                  <c:v>346</c:v>
                </c:pt>
                <c:pt idx="107">
                  <c:v>347</c:v>
                </c:pt>
                <c:pt idx="108">
                  <c:v>348</c:v>
                </c:pt>
                <c:pt idx="109">
                  <c:v>349</c:v>
                </c:pt>
                <c:pt idx="110">
                  <c:v>350</c:v>
                </c:pt>
                <c:pt idx="111">
                  <c:v>351</c:v>
                </c:pt>
                <c:pt idx="112">
                  <c:v>352</c:v>
                </c:pt>
                <c:pt idx="113">
                  <c:v>353</c:v>
                </c:pt>
                <c:pt idx="114">
                  <c:v>354</c:v>
                </c:pt>
                <c:pt idx="115">
                  <c:v>355</c:v>
                </c:pt>
                <c:pt idx="116">
                  <c:v>356</c:v>
                </c:pt>
                <c:pt idx="117">
                  <c:v>357</c:v>
                </c:pt>
                <c:pt idx="118">
                  <c:v>358</c:v>
                </c:pt>
                <c:pt idx="119">
                  <c:v>359</c:v>
                </c:pt>
                <c:pt idx="120">
                  <c:v>360</c:v>
                </c:pt>
                <c:pt idx="121">
                  <c:v>361</c:v>
                </c:pt>
                <c:pt idx="122">
                  <c:v>362</c:v>
                </c:pt>
                <c:pt idx="123">
                  <c:v>363</c:v>
                </c:pt>
                <c:pt idx="124">
                  <c:v>364</c:v>
                </c:pt>
                <c:pt idx="125">
                  <c:v>365</c:v>
                </c:pt>
                <c:pt idx="126">
                  <c:v>366</c:v>
                </c:pt>
                <c:pt idx="127">
                  <c:v>367</c:v>
                </c:pt>
                <c:pt idx="128">
                  <c:v>368</c:v>
                </c:pt>
                <c:pt idx="129">
                  <c:v>369</c:v>
                </c:pt>
                <c:pt idx="130">
                  <c:v>370</c:v>
                </c:pt>
                <c:pt idx="131">
                  <c:v>371</c:v>
                </c:pt>
                <c:pt idx="132">
                  <c:v>372</c:v>
                </c:pt>
                <c:pt idx="133">
                  <c:v>373</c:v>
                </c:pt>
                <c:pt idx="134">
                  <c:v>374</c:v>
                </c:pt>
                <c:pt idx="135">
                  <c:v>375</c:v>
                </c:pt>
                <c:pt idx="136">
                  <c:v>376</c:v>
                </c:pt>
                <c:pt idx="137">
                  <c:v>377</c:v>
                </c:pt>
                <c:pt idx="138">
                  <c:v>378</c:v>
                </c:pt>
                <c:pt idx="139">
                  <c:v>379</c:v>
                </c:pt>
                <c:pt idx="140">
                  <c:v>380</c:v>
                </c:pt>
                <c:pt idx="141">
                  <c:v>381</c:v>
                </c:pt>
                <c:pt idx="142">
                  <c:v>382</c:v>
                </c:pt>
                <c:pt idx="143">
                  <c:v>383</c:v>
                </c:pt>
                <c:pt idx="144">
                  <c:v>384</c:v>
                </c:pt>
                <c:pt idx="145">
                  <c:v>385</c:v>
                </c:pt>
                <c:pt idx="146">
                  <c:v>386</c:v>
                </c:pt>
                <c:pt idx="147">
                  <c:v>387</c:v>
                </c:pt>
              </c:numCache>
            </c:numRef>
          </c:xVal>
          <c:yVal>
            <c:numRef>
              <c:f>'Structure B'!$G$4:$G$151</c:f>
              <c:numCache>
                <c:formatCode>General</c:formatCode>
                <c:ptCount val="1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numCache>
            </c:numRef>
          </c:yVal>
          <c:smooth val="1"/>
        </c:ser>
        <c:ser>
          <c:idx val="2"/>
          <c:order val="2"/>
          <c:tx>
            <c:v>SL_EXP</c:v>
          </c:tx>
          <c:marker>
            <c:symbol val="none"/>
          </c:marker>
          <c:xVal>
            <c:numRef>
              <c:f>'Structure B'!$A$4:$A$151</c:f>
              <c:numCache>
                <c:formatCode>General</c:formatCode>
                <c:ptCount val="148"/>
                <c:pt idx="0">
                  <c:v>240</c:v>
                </c:pt>
                <c:pt idx="1">
                  <c:v>241</c:v>
                </c:pt>
                <c:pt idx="2">
                  <c:v>242</c:v>
                </c:pt>
                <c:pt idx="3">
                  <c:v>243</c:v>
                </c:pt>
                <c:pt idx="4">
                  <c:v>244</c:v>
                </c:pt>
                <c:pt idx="5">
                  <c:v>245</c:v>
                </c:pt>
                <c:pt idx="6">
                  <c:v>246</c:v>
                </c:pt>
                <c:pt idx="7">
                  <c:v>247</c:v>
                </c:pt>
                <c:pt idx="8">
                  <c:v>248</c:v>
                </c:pt>
                <c:pt idx="9">
                  <c:v>249</c:v>
                </c:pt>
                <c:pt idx="10">
                  <c:v>250</c:v>
                </c:pt>
                <c:pt idx="11">
                  <c:v>251</c:v>
                </c:pt>
                <c:pt idx="12">
                  <c:v>252</c:v>
                </c:pt>
                <c:pt idx="13">
                  <c:v>253</c:v>
                </c:pt>
                <c:pt idx="14">
                  <c:v>254</c:v>
                </c:pt>
                <c:pt idx="15">
                  <c:v>255</c:v>
                </c:pt>
                <c:pt idx="16">
                  <c:v>256</c:v>
                </c:pt>
                <c:pt idx="17">
                  <c:v>257</c:v>
                </c:pt>
                <c:pt idx="18">
                  <c:v>258</c:v>
                </c:pt>
                <c:pt idx="19">
                  <c:v>259</c:v>
                </c:pt>
                <c:pt idx="20">
                  <c:v>260</c:v>
                </c:pt>
                <c:pt idx="21">
                  <c:v>261</c:v>
                </c:pt>
                <c:pt idx="22">
                  <c:v>262</c:v>
                </c:pt>
                <c:pt idx="23">
                  <c:v>263</c:v>
                </c:pt>
                <c:pt idx="24">
                  <c:v>264</c:v>
                </c:pt>
                <c:pt idx="25">
                  <c:v>265</c:v>
                </c:pt>
                <c:pt idx="26">
                  <c:v>266</c:v>
                </c:pt>
                <c:pt idx="27">
                  <c:v>267</c:v>
                </c:pt>
                <c:pt idx="28">
                  <c:v>268</c:v>
                </c:pt>
                <c:pt idx="29">
                  <c:v>269</c:v>
                </c:pt>
                <c:pt idx="30">
                  <c:v>270</c:v>
                </c:pt>
                <c:pt idx="31">
                  <c:v>271</c:v>
                </c:pt>
                <c:pt idx="32">
                  <c:v>272</c:v>
                </c:pt>
                <c:pt idx="33">
                  <c:v>273</c:v>
                </c:pt>
                <c:pt idx="34">
                  <c:v>274</c:v>
                </c:pt>
                <c:pt idx="35">
                  <c:v>275</c:v>
                </c:pt>
                <c:pt idx="36">
                  <c:v>276</c:v>
                </c:pt>
                <c:pt idx="37">
                  <c:v>277</c:v>
                </c:pt>
                <c:pt idx="38">
                  <c:v>278</c:v>
                </c:pt>
                <c:pt idx="39">
                  <c:v>279</c:v>
                </c:pt>
                <c:pt idx="40">
                  <c:v>280</c:v>
                </c:pt>
                <c:pt idx="41">
                  <c:v>281</c:v>
                </c:pt>
                <c:pt idx="42">
                  <c:v>282</c:v>
                </c:pt>
                <c:pt idx="43">
                  <c:v>283</c:v>
                </c:pt>
                <c:pt idx="44">
                  <c:v>284</c:v>
                </c:pt>
                <c:pt idx="45">
                  <c:v>285</c:v>
                </c:pt>
                <c:pt idx="46">
                  <c:v>286</c:v>
                </c:pt>
                <c:pt idx="47">
                  <c:v>287</c:v>
                </c:pt>
                <c:pt idx="48">
                  <c:v>288</c:v>
                </c:pt>
                <c:pt idx="49">
                  <c:v>289</c:v>
                </c:pt>
                <c:pt idx="50">
                  <c:v>290</c:v>
                </c:pt>
                <c:pt idx="51">
                  <c:v>291</c:v>
                </c:pt>
                <c:pt idx="52">
                  <c:v>292</c:v>
                </c:pt>
                <c:pt idx="53">
                  <c:v>293</c:v>
                </c:pt>
                <c:pt idx="54">
                  <c:v>294</c:v>
                </c:pt>
                <c:pt idx="55">
                  <c:v>295</c:v>
                </c:pt>
                <c:pt idx="56">
                  <c:v>296</c:v>
                </c:pt>
                <c:pt idx="57">
                  <c:v>297</c:v>
                </c:pt>
                <c:pt idx="58">
                  <c:v>298</c:v>
                </c:pt>
                <c:pt idx="59">
                  <c:v>299</c:v>
                </c:pt>
                <c:pt idx="60">
                  <c:v>300</c:v>
                </c:pt>
                <c:pt idx="61">
                  <c:v>301</c:v>
                </c:pt>
                <c:pt idx="62">
                  <c:v>302</c:v>
                </c:pt>
                <c:pt idx="63">
                  <c:v>303</c:v>
                </c:pt>
                <c:pt idx="64">
                  <c:v>304</c:v>
                </c:pt>
                <c:pt idx="65">
                  <c:v>305</c:v>
                </c:pt>
                <c:pt idx="66">
                  <c:v>306</c:v>
                </c:pt>
                <c:pt idx="67">
                  <c:v>307</c:v>
                </c:pt>
                <c:pt idx="68">
                  <c:v>308</c:v>
                </c:pt>
                <c:pt idx="69">
                  <c:v>309</c:v>
                </c:pt>
                <c:pt idx="70">
                  <c:v>310</c:v>
                </c:pt>
                <c:pt idx="71">
                  <c:v>311</c:v>
                </c:pt>
                <c:pt idx="72">
                  <c:v>312</c:v>
                </c:pt>
                <c:pt idx="73">
                  <c:v>313</c:v>
                </c:pt>
                <c:pt idx="74">
                  <c:v>314</c:v>
                </c:pt>
                <c:pt idx="75">
                  <c:v>315</c:v>
                </c:pt>
                <c:pt idx="76">
                  <c:v>316</c:v>
                </c:pt>
                <c:pt idx="77">
                  <c:v>317</c:v>
                </c:pt>
                <c:pt idx="78">
                  <c:v>318</c:v>
                </c:pt>
                <c:pt idx="79">
                  <c:v>319</c:v>
                </c:pt>
                <c:pt idx="80">
                  <c:v>320</c:v>
                </c:pt>
                <c:pt idx="81">
                  <c:v>321</c:v>
                </c:pt>
                <c:pt idx="82">
                  <c:v>322</c:v>
                </c:pt>
                <c:pt idx="83">
                  <c:v>323</c:v>
                </c:pt>
                <c:pt idx="84">
                  <c:v>324</c:v>
                </c:pt>
                <c:pt idx="85">
                  <c:v>325</c:v>
                </c:pt>
                <c:pt idx="86">
                  <c:v>326</c:v>
                </c:pt>
                <c:pt idx="87">
                  <c:v>327</c:v>
                </c:pt>
                <c:pt idx="88">
                  <c:v>328</c:v>
                </c:pt>
                <c:pt idx="89">
                  <c:v>329</c:v>
                </c:pt>
                <c:pt idx="90">
                  <c:v>330</c:v>
                </c:pt>
                <c:pt idx="91">
                  <c:v>331</c:v>
                </c:pt>
                <c:pt idx="92">
                  <c:v>332</c:v>
                </c:pt>
                <c:pt idx="93">
                  <c:v>333</c:v>
                </c:pt>
                <c:pt idx="94">
                  <c:v>334</c:v>
                </c:pt>
                <c:pt idx="95">
                  <c:v>335</c:v>
                </c:pt>
                <c:pt idx="96">
                  <c:v>336</c:v>
                </c:pt>
                <c:pt idx="97">
                  <c:v>337</c:v>
                </c:pt>
                <c:pt idx="98">
                  <c:v>338</c:v>
                </c:pt>
                <c:pt idx="99">
                  <c:v>339</c:v>
                </c:pt>
                <c:pt idx="100">
                  <c:v>340</c:v>
                </c:pt>
                <c:pt idx="101">
                  <c:v>341</c:v>
                </c:pt>
                <c:pt idx="102">
                  <c:v>342</c:v>
                </c:pt>
                <c:pt idx="103">
                  <c:v>343</c:v>
                </c:pt>
                <c:pt idx="104">
                  <c:v>344</c:v>
                </c:pt>
                <c:pt idx="105">
                  <c:v>345</c:v>
                </c:pt>
                <c:pt idx="106">
                  <c:v>346</c:v>
                </c:pt>
                <c:pt idx="107">
                  <c:v>347</c:v>
                </c:pt>
                <c:pt idx="108">
                  <c:v>348</c:v>
                </c:pt>
                <c:pt idx="109">
                  <c:v>349</c:v>
                </c:pt>
                <c:pt idx="110">
                  <c:v>350</c:v>
                </c:pt>
                <c:pt idx="111">
                  <c:v>351</c:v>
                </c:pt>
                <c:pt idx="112">
                  <c:v>352</c:v>
                </c:pt>
                <c:pt idx="113">
                  <c:v>353</c:v>
                </c:pt>
                <c:pt idx="114">
                  <c:v>354</c:v>
                </c:pt>
                <c:pt idx="115">
                  <c:v>355</c:v>
                </c:pt>
                <c:pt idx="116">
                  <c:v>356</c:v>
                </c:pt>
                <c:pt idx="117">
                  <c:v>357</c:v>
                </c:pt>
                <c:pt idx="118">
                  <c:v>358</c:v>
                </c:pt>
                <c:pt idx="119">
                  <c:v>359</c:v>
                </c:pt>
                <c:pt idx="120">
                  <c:v>360</c:v>
                </c:pt>
                <c:pt idx="121">
                  <c:v>361</c:v>
                </c:pt>
                <c:pt idx="122">
                  <c:v>362</c:v>
                </c:pt>
                <c:pt idx="123">
                  <c:v>363</c:v>
                </c:pt>
                <c:pt idx="124">
                  <c:v>364</c:v>
                </c:pt>
                <c:pt idx="125">
                  <c:v>365</c:v>
                </c:pt>
                <c:pt idx="126">
                  <c:v>366</c:v>
                </c:pt>
                <c:pt idx="127">
                  <c:v>367</c:v>
                </c:pt>
                <c:pt idx="128">
                  <c:v>368</c:v>
                </c:pt>
                <c:pt idx="129">
                  <c:v>369</c:v>
                </c:pt>
                <c:pt idx="130">
                  <c:v>370</c:v>
                </c:pt>
                <c:pt idx="131">
                  <c:v>371</c:v>
                </c:pt>
                <c:pt idx="132">
                  <c:v>372</c:v>
                </c:pt>
                <c:pt idx="133">
                  <c:v>373</c:v>
                </c:pt>
                <c:pt idx="134">
                  <c:v>374</c:v>
                </c:pt>
                <c:pt idx="135">
                  <c:v>375</c:v>
                </c:pt>
                <c:pt idx="136">
                  <c:v>376</c:v>
                </c:pt>
                <c:pt idx="137">
                  <c:v>377</c:v>
                </c:pt>
                <c:pt idx="138">
                  <c:v>378</c:v>
                </c:pt>
                <c:pt idx="139">
                  <c:v>379</c:v>
                </c:pt>
                <c:pt idx="140">
                  <c:v>380</c:v>
                </c:pt>
                <c:pt idx="141">
                  <c:v>381</c:v>
                </c:pt>
                <c:pt idx="142">
                  <c:v>382</c:v>
                </c:pt>
                <c:pt idx="143">
                  <c:v>383</c:v>
                </c:pt>
                <c:pt idx="144">
                  <c:v>384</c:v>
                </c:pt>
                <c:pt idx="145">
                  <c:v>385</c:v>
                </c:pt>
                <c:pt idx="146">
                  <c:v>386</c:v>
                </c:pt>
                <c:pt idx="147">
                  <c:v>387</c:v>
                </c:pt>
              </c:numCache>
            </c:numRef>
          </c:xVal>
          <c:yVal>
            <c:numRef>
              <c:f>'Structure B'!$L$4:$L$151</c:f>
              <c:numCache>
                <c:formatCode>General</c:formatCode>
                <c:ptCount val="148"/>
                <c:pt idx="0">
                  <c:v>50.566844297601243</c:v>
                </c:pt>
                <c:pt idx="1">
                  <c:v>50.559429842760153</c:v>
                </c:pt>
                <c:pt idx="2">
                  <c:v>50.552105858571508</c:v>
                </c:pt>
                <c:pt idx="3">
                  <c:v>50.544870883841604</c:v>
                </c:pt>
                <c:pt idx="4">
                  <c:v>50.537723486666017</c:v>
                </c:pt>
                <c:pt idx="5">
                  <c:v>50.530662263730001</c:v>
                </c:pt>
                <c:pt idx="6">
                  <c:v>50.523685839628165</c:v>
                </c:pt>
                <c:pt idx="7">
                  <c:v>50.516792866203225</c:v>
                </c:pt>
                <c:pt idx="8">
                  <c:v>50.509982021902495</c:v>
                </c:pt>
                <c:pt idx="9">
                  <c:v>50.503252011152235</c:v>
                </c:pt>
                <c:pt idx="10">
                  <c:v>50.496601563749046</c:v>
                </c:pt>
                <c:pt idx="11">
                  <c:v>50.490029434267761</c:v>
                </c:pt>
                <c:pt idx="12">
                  <c:v>50.483534401485208</c:v>
                </c:pt>
                <c:pt idx="13">
                  <c:v>50.477115267819734</c:v>
                </c:pt>
                <c:pt idx="14">
                  <c:v>50.470770858785656</c:v>
                </c:pt>
                <c:pt idx="15">
                  <c:v>50.464500022462275</c:v>
                </c:pt>
                <c:pt idx="16">
                  <c:v>50.45830162897709</c:v>
                </c:pt>
                <c:pt idx="17">
                  <c:v>50.45217457000274</c:v>
                </c:pt>
                <c:pt idx="18">
                  <c:v>50.446117758267192</c:v>
                </c:pt>
                <c:pt idx="19">
                  <c:v>50.440130127076912</c:v>
                </c:pt>
                <c:pt idx="20">
                  <c:v>50.434210629852466</c:v>
                </c:pt>
                <c:pt idx="21">
                  <c:v>50.428358239676385</c:v>
                </c:pt>
                <c:pt idx="22">
                  <c:v>50.422571948852635</c:v>
                </c:pt>
                <c:pt idx="23">
                  <c:v>50.416850768477801</c:v>
                </c:pt>
                <c:pt idx="24">
                  <c:v>50.411193728023036</c:v>
                </c:pt>
                <c:pt idx="25">
                  <c:v>50.40559987492707</c:v>
                </c:pt>
                <c:pt idx="26">
                  <c:v>50.400068274199505</c:v>
                </c:pt>
                <c:pt idx="27">
                  <c:v>50.394598008034365</c:v>
                </c:pt>
                <c:pt idx="28">
                  <c:v>50.389188175433354</c:v>
                </c:pt>
                <c:pt idx="29">
                  <c:v>50.383837891838922</c:v>
                </c:pt>
                <c:pt idx="30">
                  <c:v>50.378546288776406</c:v>
                </c:pt>
                <c:pt idx="31">
                  <c:v>50.373312513505283</c:v>
                </c:pt>
                <c:pt idx="32">
                  <c:v>50.368135728679242</c:v>
                </c:pt>
                <c:pt idx="33">
                  <c:v>50.363015112014715</c:v>
                </c:pt>
                <c:pt idx="34">
                  <c:v>50.357949855967654</c:v>
                </c:pt>
                <c:pt idx="35">
                  <c:v>50.352939167418441</c:v>
                </c:pt>
                <c:pt idx="36">
                  <c:v>50.347982267364557</c:v>
                </c:pt>
                <c:pt idx="37">
                  <c:v>50.343078390620818</c:v>
                </c:pt>
                <c:pt idx="38">
                  <c:v>50.338226785527041</c:v>
                </c:pt>
                <c:pt idx="39">
                  <c:v>50.333426713662902</c:v>
                </c:pt>
                <c:pt idx="40">
                  <c:v>50.328677449569689</c:v>
                </c:pt>
                <c:pt idx="41">
                  <c:v>50.323978280478919</c:v>
                </c:pt>
                <c:pt idx="42">
                  <c:v>50.319328506047448</c:v>
                </c:pt>
                <c:pt idx="43">
                  <c:v>50.314727438099155</c:v>
                </c:pt>
                <c:pt idx="44">
                  <c:v>50.310174400372645</c:v>
                </c:pt>
                <c:pt idx="45">
                  <c:v>50.305668728275208</c:v>
                </c:pt>
                <c:pt idx="46">
                  <c:v>50.301209768642593</c:v>
                </c:pt>
                <c:pt idx="47">
                  <c:v>50.296796879504456</c:v>
                </c:pt>
                <c:pt idx="48">
                  <c:v>50.292429429855531</c:v>
                </c:pt>
                <c:pt idx="49">
                  <c:v>50.288106799432136</c:v>
                </c:pt>
                <c:pt idx="50">
                  <c:v>50.283828378493972</c:v>
                </c:pt>
                <c:pt idx="51">
                  <c:v>50.279593567611052</c:v>
                </c:pt>
                <c:pt idx="52">
                  <c:v>50.275401777455706</c:v>
                </c:pt>
                <c:pt idx="53">
                  <c:v>50.271252428599432</c:v>
                </c:pt>
                <c:pt idx="54">
                  <c:v>50.267144951314322</c:v>
                </c:pt>
                <c:pt idx="55">
                  <c:v>50.263078785379456</c:v>
                </c:pt>
                <c:pt idx="56">
                  <c:v>50.259053379891384</c:v>
                </c:pt>
                <c:pt idx="57">
                  <c:v>50.255068193079303</c:v>
                </c:pt>
                <c:pt idx="58">
                  <c:v>50.251122692124319</c:v>
                </c:pt>
                <c:pt idx="59">
                  <c:v>50.247216352982939</c:v>
                </c:pt>
                <c:pt idx="60">
                  <c:v>50.24334866021448</c:v>
                </c:pt>
                <c:pt idx="61">
                  <c:v>50.239519106812665</c:v>
                </c:pt>
                <c:pt idx="62">
                  <c:v>50.235727194040727</c:v>
                </c:pt>
                <c:pt idx="63">
                  <c:v>50.231972431270528</c:v>
                </c:pt>
                <c:pt idx="64">
                  <c:v>50.228254335825135</c:v>
                </c:pt>
                <c:pt idx="65">
                  <c:v>50.224572432825028</c:v>
                </c:pt>
                <c:pt idx="66">
                  <c:v>50.22092625503771</c:v>
                </c:pt>
                <c:pt idx="67">
                  <c:v>50.217315342730785</c:v>
                </c:pt>
                <c:pt idx="68">
                  <c:v>50.213739243528124</c:v>
                </c:pt>
                <c:pt idx="69">
                  <c:v>50.210197512269474</c:v>
                </c:pt>
                <c:pt idx="70">
                  <c:v>50.206689710872944</c:v>
                </c:pt>
                <c:pt idx="71">
                  <c:v>50.203215408200684</c:v>
                </c:pt>
                <c:pt idx="72">
                  <c:v>50.199774179927459</c:v>
                </c:pt>
                <c:pt idx="73">
                  <c:v>50.196365608412172</c:v>
                </c:pt>
                <c:pt idx="74">
                  <c:v>50.192989282572107</c:v>
                </c:pt>
                <c:pt idx="75">
                  <c:v>50.189644797759968</c:v>
                </c:pt>
                <c:pt idx="76">
                  <c:v>50.186331755643636</c:v>
                </c:pt>
                <c:pt idx="77">
                  <c:v>50.183049764088487</c:v>
                </c:pt>
                <c:pt idx="78">
                  <c:v>50.179798437042166</c:v>
                </c:pt>
                <c:pt idx="79">
                  <c:v>50.17657739442209</c:v>
                </c:pt>
                <c:pt idx="80">
                  <c:v>50.173386262005089</c:v>
                </c:pt>
                <c:pt idx="81">
                  <c:v>50.170224671319652</c:v>
                </c:pt>
                <c:pt idx="82">
                  <c:v>50.167092259540247</c:v>
                </c:pt>
                <c:pt idx="83">
                  <c:v>50.163988669384153</c:v>
                </c:pt>
                <c:pt idx="84">
                  <c:v>50.160913549010225</c:v>
                </c:pt>
                <c:pt idx="85">
                  <c:v>50.157866551920023</c:v>
                </c:pt>
                <c:pt idx="86">
                  <c:v>50.154847336860811</c:v>
                </c:pt>
                <c:pt idx="87">
                  <c:v>50.151855567730841</c:v>
                </c:pt>
                <c:pt idx="88">
                  <c:v>50.148890913486412</c:v>
                </c:pt>
                <c:pt idx="89">
                  <c:v>50.145953048050991</c:v>
                </c:pt>
                <c:pt idx="90">
                  <c:v>50.143041650226245</c:v>
                </c:pt>
                <c:pt idx="91">
                  <c:v>50.140156403604777</c:v>
                </c:pt>
                <c:pt idx="92">
                  <c:v>50.137296996484899</c:v>
                </c:pt>
                <c:pt idx="93">
                  <c:v>50.134463121786943</c:v>
                </c:pt>
                <c:pt idx="94">
                  <c:v>50.131654476971477</c:v>
                </c:pt>
                <c:pt idx="95">
                  <c:v>50.128870763959064</c:v>
                </c:pt>
                <c:pt idx="96">
                  <c:v>50.126111689051825</c:v>
                </c:pt>
                <c:pt idx="97">
                  <c:v>50.123376962856391</c:v>
                </c:pt>
                <c:pt idx="98">
                  <c:v>50.120666300208583</c:v>
                </c:pt>
                <c:pt idx="99">
                  <c:v>50.117979420099694</c:v>
                </c:pt>
                <c:pt idx="100">
                  <c:v>50.115316045604004</c:v>
                </c:pt>
                <c:pt idx="101">
                  <c:v>50.112675903807975</c:v>
                </c:pt>
                <c:pt idx="102">
                  <c:v>50.110058725740856</c:v>
                </c:pt>
                <c:pt idx="103">
                  <c:v>50.107464246306577</c:v>
                </c:pt>
                <c:pt idx="104">
                  <c:v>50.104892204217087</c:v>
                </c:pt>
                <c:pt idx="105">
                  <c:v>50.102342341927034</c:v>
                </c:pt>
                <c:pt idx="106">
                  <c:v>50.099814405569695</c:v>
                </c:pt>
                <c:pt idx="107">
                  <c:v>50.097308144894185</c:v>
                </c:pt>
                <c:pt idx="108">
                  <c:v>50.094823313203989</c:v>
                </c:pt>
                <c:pt idx="109">
                  <c:v>50.092359667296606</c:v>
                </c:pt>
                <c:pt idx="110">
                  <c:v>50.089916967404449</c:v>
                </c:pt>
                <c:pt idx="111">
                  <c:v>50.087494977136814</c:v>
                </c:pt>
                <c:pt idx="112">
                  <c:v>50.085093463423213</c:v>
                </c:pt>
                <c:pt idx="113">
                  <c:v>50.082712196457479</c:v>
                </c:pt>
                <c:pt idx="114">
                  <c:v>50.080350949643282</c:v>
                </c:pt>
                <c:pt idx="115">
                  <c:v>50.078009499540443</c:v>
                </c:pt>
                <c:pt idx="116">
                  <c:v>50.075687625812549</c:v>
                </c:pt>
                <c:pt idx="117">
                  <c:v>50.073385111175277</c:v>
                </c:pt>
                <c:pt idx="118">
                  <c:v>50.071101741345991</c:v>
                </c:pt>
                <c:pt idx="119">
                  <c:v>50.068837304994211</c:v>
                </c:pt>
                <c:pt idx="120">
                  <c:v>50.066591593692877</c:v>
                </c:pt>
                <c:pt idx="121">
                  <c:v>50.064364401870854</c:v>
                </c:pt>
                <c:pt idx="122">
                  <c:v>50.062155526766034</c:v>
                </c:pt>
                <c:pt idx="123">
                  <c:v>50.059964768379551</c:v>
                </c:pt>
                <c:pt idx="124">
                  <c:v>50.057791929430756</c:v>
                </c:pt>
                <c:pt idx="125">
                  <c:v>50.055636815313093</c:v>
                </c:pt>
                <c:pt idx="126">
                  <c:v>50.053499234050697</c:v>
                </c:pt>
                <c:pt idx="127">
                  <c:v>50.051378996256034</c:v>
                </c:pt>
                <c:pt idx="128">
                  <c:v>50.049275915088053</c:v>
                </c:pt>
                <c:pt idx="129">
                  <c:v>50.047189806211414</c:v>
                </c:pt>
                <c:pt idx="130">
                  <c:v>50.045120487756179</c:v>
                </c:pt>
                <c:pt idx="131">
                  <c:v>50.043067780278541</c:v>
                </c:pt>
                <c:pt idx="132">
                  <c:v>50.041031506722028</c:v>
                </c:pt>
                <c:pt idx="133">
                  <c:v>50.039011492379672</c:v>
                </c:pt>
                <c:pt idx="134">
                  <c:v>50.03700756485658</c:v>
                </c:pt>
                <c:pt idx="135">
                  <c:v>50.035019554033553</c:v>
                </c:pt>
                <c:pt idx="136">
                  <c:v>50.033047292031021</c:v>
                </c:pt>
                <c:pt idx="137">
                  <c:v>50.031090613173923</c:v>
                </c:pt>
                <c:pt idx="138">
                  <c:v>50.029149353957003</c:v>
                </c:pt>
                <c:pt idx="139">
                  <c:v>50.027223353010939</c:v>
                </c:pt>
                <c:pt idx="140">
                  <c:v>50.025312451068942</c:v>
                </c:pt>
                <c:pt idx="141">
                  <c:v>50.02341649093399</c:v>
                </c:pt>
                <c:pt idx="142">
                  <c:v>50.021535317446755</c:v>
                </c:pt>
                <c:pt idx="143">
                  <c:v>50.019668777453951</c:v>
                </c:pt>
                <c:pt idx="144">
                  <c:v>50.017816719777393</c:v>
                </c:pt>
                <c:pt idx="145">
                  <c:v>50.015978995183509</c:v>
                </c:pt>
                <c:pt idx="146">
                  <c:v>50.014155456353436</c:v>
                </c:pt>
                <c:pt idx="147">
                  <c:v>50.012345957853704</c:v>
                </c:pt>
              </c:numCache>
            </c:numRef>
          </c:yVal>
          <c:smooth val="1"/>
        </c:ser>
        <c:ser>
          <c:idx val="3"/>
          <c:order val="3"/>
          <c:tx>
            <c:v>SC_EXP</c:v>
          </c:tx>
          <c:marker>
            <c:symbol val="none"/>
          </c:marker>
          <c:xVal>
            <c:numRef>
              <c:f>'Structure B'!$A$4:$A$151</c:f>
              <c:numCache>
                <c:formatCode>General</c:formatCode>
                <c:ptCount val="148"/>
                <c:pt idx="0">
                  <c:v>240</c:v>
                </c:pt>
                <c:pt idx="1">
                  <c:v>241</c:v>
                </c:pt>
                <c:pt idx="2">
                  <c:v>242</c:v>
                </c:pt>
                <c:pt idx="3">
                  <c:v>243</c:v>
                </c:pt>
                <c:pt idx="4">
                  <c:v>244</c:v>
                </c:pt>
                <c:pt idx="5">
                  <c:v>245</c:v>
                </c:pt>
                <c:pt idx="6">
                  <c:v>246</c:v>
                </c:pt>
                <c:pt idx="7">
                  <c:v>247</c:v>
                </c:pt>
                <c:pt idx="8">
                  <c:v>248</c:v>
                </c:pt>
                <c:pt idx="9">
                  <c:v>249</c:v>
                </c:pt>
                <c:pt idx="10">
                  <c:v>250</c:v>
                </c:pt>
                <c:pt idx="11">
                  <c:v>251</c:v>
                </c:pt>
                <c:pt idx="12">
                  <c:v>252</c:v>
                </c:pt>
                <c:pt idx="13">
                  <c:v>253</c:v>
                </c:pt>
                <c:pt idx="14">
                  <c:v>254</c:v>
                </c:pt>
                <c:pt idx="15">
                  <c:v>255</c:v>
                </c:pt>
                <c:pt idx="16">
                  <c:v>256</c:v>
                </c:pt>
                <c:pt idx="17">
                  <c:v>257</c:v>
                </c:pt>
                <c:pt idx="18">
                  <c:v>258</c:v>
                </c:pt>
                <c:pt idx="19">
                  <c:v>259</c:v>
                </c:pt>
                <c:pt idx="20">
                  <c:v>260</c:v>
                </c:pt>
                <c:pt idx="21">
                  <c:v>261</c:v>
                </c:pt>
                <c:pt idx="22">
                  <c:v>262</c:v>
                </c:pt>
                <c:pt idx="23">
                  <c:v>263</c:v>
                </c:pt>
                <c:pt idx="24">
                  <c:v>264</c:v>
                </c:pt>
                <c:pt idx="25">
                  <c:v>265</c:v>
                </c:pt>
                <c:pt idx="26">
                  <c:v>266</c:v>
                </c:pt>
                <c:pt idx="27">
                  <c:v>267</c:v>
                </c:pt>
                <c:pt idx="28">
                  <c:v>268</c:v>
                </c:pt>
                <c:pt idx="29">
                  <c:v>269</c:v>
                </c:pt>
                <c:pt idx="30">
                  <c:v>270</c:v>
                </c:pt>
                <c:pt idx="31">
                  <c:v>271</c:v>
                </c:pt>
                <c:pt idx="32">
                  <c:v>272</c:v>
                </c:pt>
                <c:pt idx="33">
                  <c:v>273</c:v>
                </c:pt>
                <c:pt idx="34">
                  <c:v>274</c:v>
                </c:pt>
                <c:pt idx="35">
                  <c:v>275</c:v>
                </c:pt>
                <c:pt idx="36">
                  <c:v>276</c:v>
                </c:pt>
                <c:pt idx="37">
                  <c:v>277</c:v>
                </c:pt>
                <c:pt idx="38">
                  <c:v>278</c:v>
                </c:pt>
                <c:pt idx="39">
                  <c:v>279</c:v>
                </c:pt>
                <c:pt idx="40">
                  <c:v>280</c:v>
                </c:pt>
                <c:pt idx="41">
                  <c:v>281</c:v>
                </c:pt>
                <c:pt idx="42">
                  <c:v>282</c:v>
                </c:pt>
                <c:pt idx="43">
                  <c:v>283</c:v>
                </c:pt>
                <c:pt idx="44">
                  <c:v>284</c:v>
                </c:pt>
                <c:pt idx="45">
                  <c:v>285</c:v>
                </c:pt>
                <c:pt idx="46">
                  <c:v>286</c:v>
                </c:pt>
                <c:pt idx="47">
                  <c:v>287</c:v>
                </c:pt>
                <c:pt idx="48">
                  <c:v>288</c:v>
                </c:pt>
                <c:pt idx="49">
                  <c:v>289</c:v>
                </c:pt>
                <c:pt idx="50">
                  <c:v>290</c:v>
                </c:pt>
                <c:pt idx="51">
                  <c:v>291</c:v>
                </c:pt>
                <c:pt idx="52">
                  <c:v>292</c:v>
                </c:pt>
                <c:pt idx="53">
                  <c:v>293</c:v>
                </c:pt>
                <c:pt idx="54">
                  <c:v>294</c:v>
                </c:pt>
                <c:pt idx="55">
                  <c:v>295</c:v>
                </c:pt>
                <c:pt idx="56">
                  <c:v>296</c:v>
                </c:pt>
                <c:pt idx="57">
                  <c:v>297</c:v>
                </c:pt>
                <c:pt idx="58">
                  <c:v>298</c:v>
                </c:pt>
                <c:pt idx="59">
                  <c:v>299</c:v>
                </c:pt>
                <c:pt idx="60">
                  <c:v>300</c:v>
                </c:pt>
                <c:pt idx="61">
                  <c:v>301</c:v>
                </c:pt>
                <c:pt idx="62">
                  <c:v>302</c:v>
                </c:pt>
                <c:pt idx="63">
                  <c:v>303</c:v>
                </c:pt>
                <c:pt idx="64">
                  <c:v>304</c:v>
                </c:pt>
                <c:pt idx="65">
                  <c:v>305</c:v>
                </c:pt>
                <c:pt idx="66">
                  <c:v>306</c:v>
                </c:pt>
                <c:pt idx="67">
                  <c:v>307</c:v>
                </c:pt>
                <c:pt idx="68">
                  <c:v>308</c:v>
                </c:pt>
                <c:pt idx="69">
                  <c:v>309</c:v>
                </c:pt>
                <c:pt idx="70">
                  <c:v>310</c:v>
                </c:pt>
                <c:pt idx="71">
                  <c:v>311</c:v>
                </c:pt>
                <c:pt idx="72">
                  <c:v>312</c:v>
                </c:pt>
                <c:pt idx="73">
                  <c:v>313</c:v>
                </c:pt>
                <c:pt idx="74">
                  <c:v>314</c:v>
                </c:pt>
                <c:pt idx="75">
                  <c:v>315</c:v>
                </c:pt>
                <c:pt idx="76">
                  <c:v>316</c:v>
                </c:pt>
                <c:pt idx="77">
                  <c:v>317</c:v>
                </c:pt>
                <c:pt idx="78">
                  <c:v>318</c:v>
                </c:pt>
                <c:pt idx="79">
                  <c:v>319</c:v>
                </c:pt>
                <c:pt idx="80">
                  <c:v>320</c:v>
                </c:pt>
                <c:pt idx="81">
                  <c:v>321</c:v>
                </c:pt>
                <c:pt idx="82">
                  <c:v>322</c:v>
                </c:pt>
                <c:pt idx="83">
                  <c:v>323</c:v>
                </c:pt>
                <c:pt idx="84">
                  <c:v>324</c:v>
                </c:pt>
                <c:pt idx="85">
                  <c:v>325</c:v>
                </c:pt>
                <c:pt idx="86">
                  <c:v>326</c:v>
                </c:pt>
                <c:pt idx="87">
                  <c:v>327</c:v>
                </c:pt>
                <c:pt idx="88">
                  <c:v>328</c:v>
                </c:pt>
                <c:pt idx="89">
                  <c:v>329</c:v>
                </c:pt>
                <c:pt idx="90">
                  <c:v>330</c:v>
                </c:pt>
                <c:pt idx="91">
                  <c:v>331</c:v>
                </c:pt>
                <c:pt idx="92">
                  <c:v>332</c:v>
                </c:pt>
                <c:pt idx="93">
                  <c:v>333</c:v>
                </c:pt>
                <c:pt idx="94">
                  <c:v>334</c:v>
                </c:pt>
                <c:pt idx="95">
                  <c:v>335</c:v>
                </c:pt>
                <c:pt idx="96">
                  <c:v>336</c:v>
                </c:pt>
                <c:pt idx="97">
                  <c:v>337</c:v>
                </c:pt>
                <c:pt idx="98">
                  <c:v>338</c:v>
                </c:pt>
                <c:pt idx="99">
                  <c:v>339</c:v>
                </c:pt>
                <c:pt idx="100">
                  <c:v>340</c:v>
                </c:pt>
                <c:pt idx="101">
                  <c:v>341</c:v>
                </c:pt>
                <c:pt idx="102">
                  <c:v>342</c:v>
                </c:pt>
                <c:pt idx="103">
                  <c:v>343</c:v>
                </c:pt>
                <c:pt idx="104">
                  <c:v>344</c:v>
                </c:pt>
                <c:pt idx="105">
                  <c:v>345</c:v>
                </c:pt>
                <c:pt idx="106">
                  <c:v>346</c:v>
                </c:pt>
                <c:pt idx="107">
                  <c:v>347</c:v>
                </c:pt>
                <c:pt idx="108">
                  <c:v>348</c:v>
                </c:pt>
                <c:pt idx="109">
                  <c:v>349</c:v>
                </c:pt>
                <c:pt idx="110">
                  <c:v>350</c:v>
                </c:pt>
                <c:pt idx="111">
                  <c:v>351</c:v>
                </c:pt>
                <c:pt idx="112">
                  <c:v>352</c:v>
                </c:pt>
                <c:pt idx="113">
                  <c:v>353</c:v>
                </c:pt>
                <c:pt idx="114">
                  <c:v>354</c:v>
                </c:pt>
                <c:pt idx="115">
                  <c:v>355</c:v>
                </c:pt>
                <c:pt idx="116">
                  <c:v>356</c:v>
                </c:pt>
                <c:pt idx="117">
                  <c:v>357</c:v>
                </c:pt>
                <c:pt idx="118">
                  <c:v>358</c:v>
                </c:pt>
                <c:pt idx="119">
                  <c:v>359</c:v>
                </c:pt>
                <c:pt idx="120">
                  <c:v>360</c:v>
                </c:pt>
                <c:pt idx="121">
                  <c:v>361</c:v>
                </c:pt>
                <c:pt idx="122">
                  <c:v>362</c:v>
                </c:pt>
                <c:pt idx="123">
                  <c:v>363</c:v>
                </c:pt>
                <c:pt idx="124">
                  <c:v>364</c:v>
                </c:pt>
                <c:pt idx="125">
                  <c:v>365</c:v>
                </c:pt>
                <c:pt idx="126">
                  <c:v>366</c:v>
                </c:pt>
                <c:pt idx="127">
                  <c:v>367</c:v>
                </c:pt>
                <c:pt idx="128">
                  <c:v>368</c:v>
                </c:pt>
                <c:pt idx="129">
                  <c:v>369</c:v>
                </c:pt>
                <c:pt idx="130">
                  <c:v>370</c:v>
                </c:pt>
                <c:pt idx="131">
                  <c:v>371</c:v>
                </c:pt>
                <c:pt idx="132">
                  <c:v>372</c:v>
                </c:pt>
                <c:pt idx="133">
                  <c:v>373</c:v>
                </c:pt>
                <c:pt idx="134">
                  <c:v>374</c:v>
                </c:pt>
                <c:pt idx="135">
                  <c:v>375</c:v>
                </c:pt>
                <c:pt idx="136">
                  <c:v>376</c:v>
                </c:pt>
                <c:pt idx="137">
                  <c:v>377</c:v>
                </c:pt>
                <c:pt idx="138">
                  <c:v>378</c:v>
                </c:pt>
                <c:pt idx="139">
                  <c:v>379</c:v>
                </c:pt>
                <c:pt idx="140">
                  <c:v>380</c:v>
                </c:pt>
                <c:pt idx="141">
                  <c:v>381</c:v>
                </c:pt>
                <c:pt idx="142">
                  <c:v>382</c:v>
                </c:pt>
                <c:pt idx="143">
                  <c:v>383</c:v>
                </c:pt>
                <c:pt idx="144">
                  <c:v>384</c:v>
                </c:pt>
                <c:pt idx="145">
                  <c:v>385</c:v>
                </c:pt>
                <c:pt idx="146">
                  <c:v>386</c:v>
                </c:pt>
                <c:pt idx="147">
                  <c:v>387</c:v>
                </c:pt>
              </c:numCache>
            </c:numRef>
          </c:xVal>
          <c:yVal>
            <c:numRef>
              <c:f>'Structure B'!$M$4:$M$151</c:f>
              <c:numCache>
                <c:formatCode>General</c:formatCode>
                <c:ptCount val="148"/>
                <c:pt idx="0">
                  <c:v>27.790154601160346</c:v>
                </c:pt>
                <c:pt idx="1">
                  <c:v>27.786079819568187</c:v>
                </c:pt>
                <c:pt idx="2">
                  <c:v>27.782054758172205</c:v>
                </c:pt>
                <c:pt idx="3">
                  <c:v>27.778078613940302</c:v>
                </c:pt>
                <c:pt idx="4">
                  <c:v>27.77415059993697</c:v>
                </c:pt>
                <c:pt idx="5">
                  <c:v>27.770269944938789</c:v>
                </c:pt>
                <c:pt idx="6">
                  <c:v>27.766435893060617</c:v>
                </c:pt>
                <c:pt idx="7">
                  <c:v>27.762647703392037</c:v>
                </c:pt>
                <c:pt idx="8">
                  <c:v>27.758904649643846</c:v>
                </c:pt>
                <c:pt idx="9">
                  <c:v>27.755206019804177</c:v>
                </c:pt>
                <c:pt idx="10">
                  <c:v>27.75155111580397</c:v>
                </c:pt>
                <c:pt idx="11">
                  <c:v>27.747939253191607</c:v>
                </c:pt>
                <c:pt idx="12">
                  <c:v>27.74436976081623</c:v>
                </c:pt>
                <c:pt idx="13">
                  <c:v>27.740841980519733</c:v>
                </c:pt>
                <c:pt idx="14">
                  <c:v>27.737355266836904</c:v>
                </c:pt>
                <c:pt idx="15">
                  <c:v>27.733908986703629</c:v>
                </c:pt>
                <c:pt idx="16">
                  <c:v>27.730502519172884</c:v>
                </c:pt>
                <c:pt idx="17">
                  <c:v>27.727135255138261</c:v>
                </c:pt>
                <c:pt idx="18">
                  <c:v>27.723806597064797</c:v>
                </c:pt>
                <c:pt idx="19">
                  <c:v>27.720515958726889</c:v>
                </c:pt>
                <c:pt idx="20">
                  <c:v>27.717262764953116</c:v>
                </c:pt>
                <c:pt idx="21">
                  <c:v>27.714046451377701</c:v>
                </c:pt>
                <c:pt idx="22">
                  <c:v>27.710866464198507</c:v>
                </c:pt>
                <c:pt idx="23">
                  <c:v>27.707722259941217</c:v>
                </c:pt>
                <c:pt idx="24">
                  <c:v>27.704613305229756</c:v>
                </c:pt>
                <c:pt idx="25">
                  <c:v>27.70153907656249</c:v>
                </c:pt>
                <c:pt idx="26">
                  <c:v>27.698499060094264</c:v>
                </c:pt>
                <c:pt idx="27">
                  <c:v>27.695492751424013</c:v>
                </c:pt>
                <c:pt idx="28">
                  <c:v>27.692519655387738</c:v>
                </c:pt>
                <c:pt idx="29">
                  <c:v>27.689579285856773</c:v>
                </c:pt>
                <c:pt idx="30">
                  <c:v>27.68667116554122</c:v>
                </c:pt>
                <c:pt idx="31">
                  <c:v>27.683794825798202</c:v>
                </c:pt>
                <c:pt idx="32">
                  <c:v>27.680949806445085</c:v>
                </c:pt>
                <c:pt idx="33">
                  <c:v>27.678135655577321</c:v>
                </c:pt>
                <c:pt idx="34">
                  <c:v>27.675351929390779</c:v>
                </c:pt>
                <c:pt idx="35">
                  <c:v>27.6725981920086</c:v>
                </c:pt>
                <c:pt idx="36">
                  <c:v>27.669874015312324</c:v>
                </c:pt>
                <c:pt idx="37">
                  <c:v>27.667178978777081</c:v>
                </c:pt>
                <c:pt idx="38">
                  <c:v>27.664512669311016</c:v>
                </c:pt>
                <c:pt idx="39">
                  <c:v>27.661874681098507</c:v>
                </c:pt>
                <c:pt idx="40">
                  <c:v>27.659264615447277</c:v>
                </c:pt>
                <c:pt idx="41">
                  <c:v>27.656682080639268</c:v>
                </c:pt>
                <c:pt idx="42">
                  <c:v>27.654126691785056</c:v>
                </c:pt>
                <c:pt idx="43">
                  <c:v>27.651598070681846</c:v>
                </c:pt>
                <c:pt idx="44">
                  <c:v>27.649095845674882</c:v>
                </c:pt>
                <c:pt idx="45">
                  <c:v>27.64661965152219</c:v>
                </c:pt>
                <c:pt idx="46">
                  <c:v>27.644169129262551</c:v>
                </c:pt>
                <c:pt idx="47">
                  <c:v>27.641743926086637</c:v>
                </c:pt>
                <c:pt idx="48">
                  <c:v>27.639343695211206</c:v>
                </c:pt>
                <c:pt idx="49">
                  <c:v>27.636968095756298</c:v>
                </c:pt>
                <c:pt idx="50">
                  <c:v>27.634616792625323</c:v>
                </c:pt>
                <c:pt idx="51">
                  <c:v>27.632289456387955</c:v>
                </c:pt>
                <c:pt idx="52">
                  <c:v>27.629985763165834</c:v>
                </c:pt>
                <c:pt idx="53">
                  <c:v>27.627705394520884</c:v>
                </c:pt>
                <c:pt idx="54">
                  <c:v>27.625448037346253</c:v>
                </c:pt>
                <c:pt idx="55">
                  <c:v>27.623213383759822</c:v>
                </c:pt>
                <c:pt idx="56">
                  <c:v>27.621001131000142</c:v>
                </c:pt>
                <c:pt idx="57">
                  <c:v>27.618810981324785</c:v>
                </c:pt>
                <c:pt idx="58">
                  <c:v>27.616642641911067</c:v>
                </c:pt>
                <c:pt idx="59">
                  <c:v>27.614495824758993</c:v>
                </c:pt>
                <c:pt idx="60">
                  <c:v>27.612370246596509</c:v>
                </c:pt>
                <c:pt idx="61">
                  <c:v>27.610265628786792</c:v>
                </c:pt>
                <c:pt idx="62">
                  <c:v>27.608181697237772</c:v>
                </c:pt>
                <c:pt idx="63">
                  <c:v>27.606118182313633</c:v>
                </c:pt>
                <c:pt idx="64">
                  <c:v>27.604074818748348</c:v>
                </c:pt>
                <c:pt idx="65">
                  <c:v>27.602051345561105</c:v>
                </c:pt>
                <c:pt idx="66">
                  <c:v>27.60004750597372</c:v>
                </c:pt>
                <c:pt idx="67">
                  <c:v>27.59806304732982</c:v>
                </c:pt>
                <c:pt idx="68">
                  <c:v>27.596097721015894</c:v>
                </c:pt>
                <c:pt idx="69">
                  <c:v>27.594151282383997</c:v>
                </c:pt>
                <c:pt idx="70">
                  <c:v>27.592223490676329</c:v>
                </c:pt>
                <c:pt idx="71">
                  <c:v>27.590314108951311</c:v>
                </c:pt>
                <c:pt idx="72">
                  <c:v>27.58842290401142</c:v>
                </c:pt>
                <c:pt idx="73">
                  <c:v>27.5865496463325</c:v>
                </c:pt>
                <c:pt idx="74">
                  <c:v>27.584694109994754</c:v>
                </c:pt>
                <c:pt idx="75">
                  <c:v>27.582856072615094</c:v>
                </c:pt>
                <c:pt idx="76">
                  <c:v>27.581035315281081</c:v>
                </c:pt>
                <c:pt idx="77">
                  <c:v>27.579231622486237</c:v>
                </c:pt>
                <c:pt idx="78">
                  <c:v>27.577444782066774</c:v>
                </c:pt>
                <c:pt idx="79">
                  <c:v>27.575674585139662</c:v>
                </c:pt>
                <c:pt idx="80">
                  <c:v>27.573920826042119</c:v>
                </c:pt>
                <c:pt idx="81">
                  <c:v>27.572183302272251</c:v>
                </c:pt>
                <c:pt idx="82">
                  <c:v>27.570461814431095</c:v>
                </c:pt>
                <c:pt idx="83">
                  <c:v>27.568756166165823</c:v>
                </c:pt>
                <c:pt idx="84">
                  <c:v>27.567066164114173</c:v>
                </c:pt>
                <c:pt idx="85">
                  <c:v>27.565391617850068</c:v>
                </c:pt>
                <c:pt idx="86">
                  <c:v>27.563732339830345</c:v>
                </c:pt>
                <c:pt idx="87">
                  <c:v>27.562088145342678</c:v>
                </c:pt>
                <c:pt idx="88">
                  <c:v>27.560458852454502</c:v>
                </c:pt>
                <c:pt idx="89">
                  <c:v>27.558844281963076</c:v>
                </c:pt>
                <c:pt idx="90">
                  <c:v>27.557244257346561</c:v>
                </c:pt>
                <c:pt idx="91">
                  <c:v>27.555658604716136</c:v>
                </c:pt>
                <c:pt idx="92">
                  <c:v>27.554087152769053</c:v>
                </c:pt>
                <c:pt idx="93">
                  <c:v>27.552529732742741</c:v>
                </c:pt>
                <c:pt idx="94">
                  <c:v>27.550986178369794</c:v>
                </c:pt>
                <c:pt idx="95">
                  <c:v>27.549456325833916</c:v>
                </c:pt>
                <c:pt idx="96">
                  <c:v>27.547940013726773</c:v>
                </c:pt>
                <c:pt idx="97">
                  <c:v>27.546437083005685</c:v>
                </c:pt>
                <c:pt idx="98">
                  <c:v>27.544947376952244</c:v>
                </c:pt>
                <c:pt idx="99">
                  <c:v>27.543470741131717</c:v>
                </c:pt>
                <c:pt idx="100">
                  <c:v>27.542007023353314</c:v>
                </c:pt>
                <c:pt idx="101">
                  <c:v>27.540556073631219</c:v>
                </c:pt>
                <c:pt idx="102">
                  <c:v>27.53911774414647</c:v>
                </c:pt>
                <c:pt idx="103">
                  <c:v>27.537691889209515</c:v>
                </c:pt>
                <c:pt idx="104">
                  <c:v>27.536278365223581</c:v>
                </c:pt>
                <c:pt idx="105">
                  <c:v>27.534877030648794</c:v>
                </c:pt>
                <c:pt idx="106">
                  <c:v>27.53348774596693</c:v>
                </c:pt>
                <c:pt idx="107">
                  <c:v>27.532110373646983</c:v>
                </c:pt>
                <c:pt idx="108">
                  <c:v>27.530744778111252</c:v>
                </c:pt>
                <c:pt idx="109">
                  <c:v>27.529390825702322</c:v>
                </c:pt>
                <c:pt idx="110">
                  <c:v>27.528048384650475</c:v>
                </c:pt>
                <c:pt idx="111">
                  <c:v>27.526717325041862</c:v>
                </c:pt>
                <c:pt idx="112">
                  <c:v>27.525397518787287</c:v>
                </c:pt>
                <c:pt idx="113">
                  <c:v>27.524088839591592</c:v>
                </c:pt>
                <c:pt idx="114">
                  <c:v>27.522791162923617</c:v>
                </c:pt>
                <c:pt idx="115">
                  <c:v>27.521504365986761</c:v>
                </c:pt>
                <c:pt idx="116">
                  <c:v>27.520228327690148</c:v>
                </c:pt>
                <c:pt idx="117">
                  <c:v>27.518962928620262</c:v>
                </c:pt>
                <c:pt idx="118">
                  <c:v>27.51770805101323</c:v>
                </c:pt>
                <c:pt idx="119">
                  <c:v>27.516463578727585</c:v>
                </c:pt>
                <c:pt idx="120">
                  <c:v>27.515229397217542</c:v>
                </c:pt>
                <c:pt idx="121">
                  <c:v>27.514005393506803</c:v>
                </c:pt>
                <c:pt idx="122">
                  <c:v>27.512791456162873</c:v>
                </c:pt>
                <c:pt idx="123">
                  <c:v>27.511587475271842</c:v>
                </c:pt>
                <c:pt idx="124">
                  <c:v>27.510393342413661</c:v>
                </c:pt>
                <c:pt idx="125">
                  <c:v>27.509208950637884</c:v>
                </c:pt>
                <c:pt idx="126">
                  <c:v>27.508034194439826</c:v>
                </c:pt>
                <c:pt idx="127">
                  <c:v>27.506868969737287</c:v>
                </c:pt>
                <c:pt idx="128">
                  <c:v>27.505713173847543</c:v>
                </c:pt>
                <c:pt idx="129">
                  <c:v>27.504566705464903</c:v>
                </c:pt>
                <c:pt idx="130">
                  <c:v>27.50342946463865</c:v>
                </c:pt>
                <c:pt idx="131">
                  <c:v>27.502301352751367</c:v>
                </c:pt>
                <c:pt idx="132">
                  <c:v>27.501182272497665</c:v>
                </c:pt>
                <c:pt idx="133">
                  <c:v>27.500072127863351</c:v>
                </c:pt>
                <c:pt idx="134">
                  <c:v>27.498970824104941</c:v>
                </c:pt>
                <c:pt idx="135">
                  <c:v>27.497878267729554</c:v>
                </c:pt>
                <c:pt idx="136">
                  <c:v>27.496794366475175</c:v>
                </c:pt>
                <c:pt idx="137">
                  <c:v>27.495719029291315</c:v>
                </c:pt>
                <c:pt idx="138">
                  <c:v>27.494652166319959</c:v>
                </c:pt>
                <c:pt idx="139">
                  <c:v>27.493593688876953</c:v>
                </c:pt>
                <c:pt idx="140">
                  <c:v>27.492543509433617</c:v>
                </c:pt>
                <c:pt idx="141">
                  <c:v>27.491501541598765</c:v>
                </c:pt>
                <c:pt idx="142">
                  <c:v>27.490467700101085</c:v>
                </c:pt>
                <c:pt idx="143">
                  <c:v>27.489441900771709</c:v>
                </c:pt>
                <c:pt idx="144">
                  <c:v>27.488424060527237</c:v>
                </c:pt>
                <c:pt idx="145">
                  <c:v>27.487414097352989</c:v>
                </c:pt>
                <c:pt idx="146">
                  <c:v>27.48641193028655</c:v>
                </c:pt>
                <c:pt idx="147">
                  <c:v>27.485417479401658</c:v>
                </c:pt>
              </c:numCache>
            </c:numRef>
          </c:yVal>
          <c:smooth val="1"/>
        </c:ser>
        <c:dLbls>
          <c:showLegendKey val="0"/>
          <c:showVal val="0"/>
          <c:showCatName val="0"/>
          <c:showSerName val="0"/>
          <c:showPercent val="0"/>
          <c:showBubbleSize val="0"/>
        </c:dLbls>
        <c:axId val="281898840"/>
        <c:axId val="281896096"/>
      </c:scatterChart>
      <c:valAx>
        <c:axId val="281898840"/>
        <c:scaling>
          <c:orientation val="minMax"/>
        </c:scaling>
        <c:delete val="0"/>
        <c:axPos val="b"/>
        <c:title>
          <c:tx>
            <c:rich>
              <a:bodyPr/>
              <a:lstStyle/>
              <a:p>
                <a:pPr>
                  <a:defRPr/>
                </a:pPr>
                <a:r>
                  <a:rPr lang="en-US"/>
                  <a:t>Distance between Webs (B, mm)</a:t>
                </a:r>
              </a:p>
            </c:rich>
          </c:tx>
          <c:layout/>
          <c:overlay val="0"/>
        </c:title>
        <c:numFmt formatCode="General" sourceLinked="1"/>
        <c:majorTickMark val="out"/>
        <c:minorTickMark val="none"/>
        <c:tickLblPos val="nextTo"/>
        <c:crossAx val="281896096"/>
        <c:crosses val="autoZero"/>
        <c:crossBetween val="midCat"/>
      </c:valAx>
      <c:valAx>
        <c:axId val="281896096"/>
        <c:scaling>
          <c:orientation val="minMax"/>
        </c:scaling>
        <c:delete val="0"/>
        <c:axPos val="l"/>
        <c:majorGridlines>
          <c:spPr>
            <a:ln>
              <a:noFill/>
            </a:ln>
          </c:spPr>
        </c:majorGridlines>
        <c:title>
          <c:tx>
            <c:rich>
              <a:bodyPr rot="-5400000" vert="horz"/>
              <a:lstStyle/>
              <a:p>
                <a:pPr>
                  <a:defRPr/>
                </a:pPr>
                <a:r>
                  <a:rPr lang="en-US"/>
                  <a:t>Local Stress (MPa)</a:t>
                </a:r>
              </a:p>
            </c:rich>
          </c:tx>
          <c:layout/>
          <c:overlay val="0"/>
        </c:title>
        <c:numFmt formatCode="General" sourceLinked="1"/>
        <c:majorTickMark val="out"/>
        <c:minorTickMark val="none"/>
        <c:tickLblPos val="nextTo"/>
        <c:crossAx val="2818988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02123140849"/>
          <c:y val="9.753164659809227E-2"/>
          <c:w val="0.72829845802816551"/>
          <c:h val="0.75170790784992392"/>
        </c:manualLayout>
      </c:layout>
      <c:scatterChart>
        <c:scatterStyle val="smoothMarker"/>
        <c:varyColors val="0"/>
        <c:ser>
          <c:idx val="0"/>
          <c:order val="0"/>
          <c:tx>
            <c:v>SL_SUS</c:v>
          </c:tx>
          <c:marker>
            <c:symbol val="none"/>
          </c:marker>
          <c:xVal>
            <c:numRef>
              <c:f>'Structure C'!$A$4:$A$150</c:f>
              <c:numCache>
                <c:formatCode>General</c:formatCode>
                <c:ptCount val="147"/>
                <c:pt idx="0">
                  <c:v>125</c:v>
                </c:pt>
                <c:pt idx="1">
                  <c:v>130</c:v>
                </c:pt>
                <c:pt idx="2">
                  <c:v>135</c:v>
                </c:pt>
                <c:pt idx="3">
                  <c:v>140</c:v>
                </c:pt>
                <c:pt idx="4">
                  <c:v>145</c:v>
                </c:pt>
                <c:pt idx="5">
                  <c:v>150</c:v>
                </c:pt>
                <c:pt idx="6">
                  <c:v>155</c:v>
                </c:pt>
                <c:pt idx="7">
                  <c:v>160</c:v>
                </c:pt>
                <c:pt idx="8">
                  <c:v>165</c:v>
                </c:pt>
                <c:pt idx="9">
                  <c:v>170</c:v>
                </c:pt>
                <c:pt idx="10">
                  <c:v>175</c:v>
                </c:pt>
                <c:pt idx="11">
                  <c:v>180</c:v>
                </c:pt>
                <c:pt idx="12">
                  <c:v>185</c:v>
                </c:pt>
                <c:pt idx="13">
                  <c:v>190</c:v>
                </c:pt>
                <c:pt idx="14">
                  <c:v>195</c:v>
                </c:pt>
                <c:pt idx="15">
                  <c:v>200</c:v>
                </c:pt>
                <c:pt idx="16">
                  <c:v>205</c:v>
                </c:pt>
                <c:pt idx="17">
                  <c:v>210</c:v>
                </c:pt>
                <c:pt idx="18">
                  <c:v>215</c:v>
                </c:pt>
                <c:pt idx="19">
                  <c:v>220</c:v>
                </c:pt>
                <c:pt idx="20">
                  <c:v>225</c:v>
                </c:pt>
                <c:pt idx="21">
                  <c:v>230</c:v>
                </c:pt>
                <c:pt idx="22">
                  <c:v>235</c:v>
                </c:pt>
                <c:pt idx="23">
                  <c:v>240</c:v>
                </c:pt>
                <c:pt idx="24">
                  <c:v>245</c:v>
                </c:pt>
                <c:pt idx="25">
                  <c:v>250</c:v>
                </c:pt>
                <c:pt idx="26">
                  <c:v>255</c:v>
                </c:pt>
                <c:pt idx="27">
                  <c:v>260</c:v>
                </c:pt>
                <c:pt idx="28">
                  <c:v>265</c:v>
                </c:pt>
                <c:pt idx="29">
                  <c:v>270</c:v>
                </c:pt>
                <c:pt idx="30">
                  <c:v>275</c:v>
                </c:pt>
                <c:pt idx="31">
                  <c:v>280</c:v>
                </c:pt>
                <c:pt idx="32">
                  <c:v>285</c:v>
                </c:pt>
                <c:pt idx="33">
                  <c:v>290</c:v>
                </c:pt>
                <c:pt idx="34">
                  <c:v>295</c:v>
                </c:pt>
                <c:pt idx="35">
                  <c:v>300</c:v>
                </c:pt>
                <c:pt idx="36">
                  <c:v>305</c:v>
                </c:pt>
                <c:pt idx="37">
                  <c:v>310</c:v>
                </c:pt>
                <c:pt idx="38">
                  <c:v>315</c:v>
                </c:pt>
                <c:pt idx="39">
                  <c:v>320</c:v>
                </c:pt>
                <c:pt idx="40">
                  <c:v>325</c:v>
                </c:pt>
                <c:pt idx="41">
                  <c:v>330</c:v>
                </c:pt>
                <c:pt idx="42">
                  <c:v>335</c:v>
                </c:pt>
                <c:pt idx="43">
                  <c:v>340</c:v>
                </c:pt>
                <c:pt idx="44">
                  <c:v>345</c:v>
                </c:pt>
                <c:pt idx="45">
                  <c:v>350</c:v>
                </c:pt>
                <c:pt idx="46">
                  <c:v>355</c:v>
                </c:pt>
                <c:pt idx="47">
                  <c:v>360</c:v>
                </c:pt>
                <c:pt idx="48">
                  <c:v>365</c:v>
                </c:pt>
                <c:pt idx="49">
                  <c:v>370</c:v>
                </c:pt>
                <c:pt idx="50">
                  <c:v>375</c:v>
                </c:pt>
                <c:pt idx="51">
                  <c:v>380</c:v>
                </c:pt>
                <c:pt idx="52">
                  <c:v>385</c:v>
                </c:pt>
                <c:pt idx="53">
                  <c:v>390</c:v>
                </c:pt>
                <c:pt idx="54">
                  <c:v>395</c:v>
                </c:pt>
                <c:pt idx="55">
                  <c:v>400</c:v>
                </c:pt>
                <c:pt idx="56">
                  <c:v>405</c:v>
                </c:pt>
                <c:pt idx="57">
                  <c:v>410</c:v>
                </c:pt>
                <c:pt idx="58">
                  <c:v>415</c:v>
                </c:pt>
                <c:pt idx="59">
                  <c:v>420</c:v>
                </c:pt>
                <c:pt idx="60">
                  <c:v>425</c:v>
                </c:pt>
                <c:pt idx="61">
                  <c:v>430</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numCache>
            </c:numRef>
          </c:xVal>
          <c:yVal>
            <c:numRef>
              <c:f>'Structure C'!$F$4:$F$150</c:f>
              <c:numCache>
                <c:formatCode>0.00E+00</c:formatCode>
                <c:ptCount val="14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numCache>
            </c:numRef>
          </c:yVal>
          <c:smooth val="1"/>
        </c:ser>
        <c:ser>
          <c:idx val="1"/>
          <c:order val="1"/>
          <c:tx>
            <c:v>SC_SUS</c:v>
          </c:tx>
          <c:marker>
            <c:symbol val="none"/>
          </c:marker>
          <c:xVal>
            <c:numRef>
              <c:f>'Structure C'!$A$4:$A$150</c:f>
              <c:numCache>
                <c:formatCode>General</c:formatCode>
                <c:ptCount val="147"/>
                <c:pt idx="0">
                  <c:v>125</c:v>
                </c:pt>
                <c:pt idx="1">
                  <c:v>130</c:v>
                </c:pt>
                <c:pt idx="2">
                  <c:v>135</c:v>
                </c:pt>
                <c:pt idx="3">
                  <c:v>140</c:v>
                </c:pt>
                <c:pt idx="4">
                  <c:v>145</c:v>
                </c:pt>
                <c:pt idx="5">
                  <c:v>150</c:v>
                </c:pt>
                <c:pt idx="6">
                  <c:v>155</c:v>
                </c:pt>
                <c:pt idx="7">
                  <c:v>160</c:v>
                </c:pt>
                <c:pt idx="8">
                  <c:v>165</c:v>
                </c:pt>
                <c:pt idx="9">
                  <c:v>170</c:v>
                </c:pt>
                <c:pt idx="10">
                  <c:v>175</c:v>
                </c:pt>
                <c:pt idx="11">
                  <c:v>180</c:v>
                </c:pt>
                <c:pt idx="12">
                  <c:v>185</c:v>
                </c:pt>
                <c:pt idx="13">
                  <c:v>190</c:v>
                </c:pt>
                <c:pt idx="14">
                  <c:v>195</c:v>
                </c:pt>
                <c:pt idx="15">
                  <c:v>200</c:v>
                </c:pt>
                <c:pt idx="16">
                  <c:v>205</c:v>
                </c:pt>
                <c:pt idx="17">
                  <c:v>210</c:v>
                </c:pt>
                <c:pt idx="18">
                  <c:v>215</c:v>
                </c:pt>
                <c:pt idx="19">
                  <c:v>220</c:v>
                </c:pt>
                <c:pt idx="20">
                  <c:v>225</c:v>
                </c:pt>
                <c:pt idx="21">
                  <c:v>230</c:v>
                </c:pt>
                <c:pt idx="22">
                  <c:v>235</c:v>
                </c:pt>
                <c:pt idx="23">
                  <c:v>240</c:v>
                </c:pt>
                <c:pt idx="24">
                  <c:v>245</c:v>
                </c:pt>
                <c:pt idx="25">
                  <c:v>250</c:v>
                </c:pt>
                <c:pt idx="26">
                  <c:v>255</c:v>
                </c:pt>
                <c:pt idx="27">
                  <c:v>260</c:v>
                </c:pt>
                <c:pt idx="28">
                  <c:v>265</c:v>
                </c:pt>
                <c:pt idx="29">
                  <c:v>270</c:v>
                </c:pt>
                <c:pt idx="30">
                  <c:v>275</c:v>
                </c:pt>
                <c:pt idx="31">
                  <c:v>280</c:v>
                </c:pt>
                <c:pt idx="32">
                  <c:v>285</c:v>
                </c:pt>
                <c:pt idx="33">
                  <c:v>290</c:v>
                </c:pt>
                <c:pt idx="34">
                  <c:v>295</c:v>
                </c:pt>
                <c:pt idx="35">
                  <c:v>300</c:v>
                </c:pt>
                <c:pt idx="36">
                  <c:v>305</c:v>
                </c:pt>
                <c:pt idx="37">
                  <c:v>310</c:v>
                </c:pt>
                <c:pt idx="38">
                  <c:v>315</c:v>
                </c:pt>
                <c:pt idx="39">
                  <c:v>320</c:v>
                </c:pt>
                <c:pt idx="40">
                  <c:v>325</c:v>
                </c:pt>
                <c:pt idx="41">
                  <c:v>330</c:v>
                </c:pt>
                <c:pt idx="42">
                  <c:v>335</c:v>
                </c:pt>
                <c:pt idx="43">
                  <c:v>340</c:v>
                </c:pt>
                <c:pt idx="44">
                  <c:v>345</c:v>
                </c:pt>
                <c:pt idx="45">
                  <c:v>350</c:v>
                </c:pt>
                <c:pt idx="46">
                  <c:v>355</c:v>
                </c:pt>
                <c:pt idx="47">
                  <c:v>360</c:v>
                </c:pt>
                <c:pt idx="48">
                  <c:v>365</c:v>
                </c:pt>
                <c:pt idx="49">
                  <c:v>370</c:v>
                </c:pt>
                <c:pt idx="50">
                  <c:v>375</c:v>
                </c:pt>
                <c:pt idx="51">
                  <c:v>380</c:v>
                </c:pt>
                <c:pt idx="52">
                  <c:v>385</c:v>
                </c:pt>
                <c:pt idx="53">
                  <c:v>390</c:v>
                </c:pt>
                <c:pt idx="54">
                  <c:v>395</c:v>
                </c:pt>
                <c:pt idx="55">
                  <c:v>400</c:v>
                </c:pt>
                <c:pt idx="56">
                  <c:v>405</c:v>
                </c:pt>
                <c:pt idx="57">
                  <c:v>410</c:v>
                </c:pt>
                <c:pt idx="58">
                  <c:v>415</c:v>
                </c:pt>
                <c:pt idx="59">
                  <c:v>420</c:v>
                </c:pt>
                <c:pt idx="60">
                  <c:v>425</c:v>
                </c:pt>
                <c:pt idx="61">
                  <c:v>430</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numCache>
            </c:numRef>
          </c:xVal>
          <c:yVal>
            <c:numRef>
              <c:f>'Structure C'!$G$4:$G$150</c:f>
              <c:numCache>
                <c:formatCode>0.00E+00</c:formatCode>
                <c:ptCount val="14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numCache>
            </c:numRef>
          </c:yVal>
          <c:smooth val="1"/>
        </c:ser>
        <c:ser>
          <c:idx val="2"/>
          <c:order val="2"/>
          <c:tx>
            <c:v>SL_EXP</c:v>
          </c:tx>
          <c:marker>
            <c:symbol val="none"/>
          </c:marker>
          <c:xVal>
            <c:numRef>
              <c:f>'Structure C'!$A$4:$A$150</c:f>
              <c:numCache>
                <c:formatCode>General</c:formatCode>
                <c:ptCount val="147"/>
                <c:pt idx="0">
                  <c:v>125</c:v>
                </c:pt>
                <c:pt idx="1">
                  <c:v>130</c:v>
                </c:pt>
                <c:pt idx="2">
                  <c:v>135</c:v>
                </c:pt>
                <c:pt idx="3">
                  <c:v>140</c:v>
                </c:pt>
                <c:pt idx="4">
                  <c:v>145</c:v>
                </c:pt>
                <c:pt idx="5">
                  <c:v>150</c:v>
                </c:pt>
                <c:pt idx="6">
                  <c:v>155</c:v>
                </c:pt>
                <c:pt idx="7">
                  <c:v>160</c:v>
                </c:pt>
                <c:pt idx="8">
                  <c:v>165</c:v>
                </c:pt>
                <c:pt idx="9">
                  <c:v>170</c:v>
                </c:pt>
                <c:pt idx="10">
                  <c:v>175</c:v>
                </c:pt>
                <c:pt idx="11">
                  <c:v>180</c:v>
                </c:pt>
                <c:pt idx="12">
                  <c:v>185</c:v>
                </c:pt>
                <c:pt idx="13">
                  <c:v>190</c:v>
                </c:pt>
                <c:pt idx="14">
                  <c:v>195</c:v>
                </c:pt>
                <c:pt idx="15">
                  <c:v>200</c:v>
                </c:pt>
                <c:pt idx="16">
                  <c:v>205</c:v>
                </c:pt>
                <c:pt idx="17">
                  <c:v>210</c:v>
                </c:pt>
                <c:pt idx="18">
                  <c:v>215</c:v>
                </c:pt>
                <c:pt idx="19">
                  <c:v>220</c:v>
                </c:pt>
                <c:pt idx="20">
                  <c:v>225</c:v>
                </c:pt>
                <c:pt idx="21">
                  <c:v>230</c:v>
                </c:pt>
                <c:pt idx="22">
                  <c:v>235</c:v>
                </c:pt>
                <c:pt idx="23">
                  <c:v>240</c:v>
                </c:pt>
                <c:pt idx="24">
                  <c:v>245</c:v>
                </c:pt>
                <c:pt idx="25">
                  <c:v>250</c:v>
                </c:pt>
                <c:pt idx="26">
                  <c:v>255</c:v>
                </c:pt>
                <c:pt idx="27">
                  <c:v>260</c:v>
                </c:pt>
                <c:pt idx="28">
                  <c:v>265</c:v>
                </c:pt>
                <c:pt idx="29">
                  <c:v>270</c:v>
                </c:pt>
                <c:pt idx="30">
                  <c:v>275</c:v>
                </c:pt>
                <c:pt idx="31">
                  <c:v>280</c:v>
                </c:pt>
                <c:pt idx="32">
                  <c:v>285</c:v>
                </c:pt>
                <c:pt idx="33">
                  <c:v>290</c:v>
                </c:pt>
                <c:pt idx="34">
                  <c:v>295</c:v>
                </c:pt>
                <c:pt idx="35">
                  <c:v>300</c:v>
                </c:pt>
                <c:pt idx="36">
                  <c:v>305</c:v>
                </c:pt>
                <c:pt idx="37">
                  <c:v>310</c:v>
                </c:pt>
                <c:pt idx="38">
                  <c:v>315</c:v>
                </c:pt>
                <c:pt idx="39">
                  <c:v>320</c:v>
                </c:pt>
                <c:pt idx="40">
                  <c:v>325</c:v>
                </c:pt>
                <c:pt idx="41">
                  <c:v>330</c:v>
                </c:pt>
                <c:pt idx="42">
                  <c:v>335</c:v>
                </c:pt>
                <c:pt idx="43">
                  <c:v>340</c:v>
                </c:pt>
                <c:pt idx="44">
                  <c:v>345</c:v>
                </c:pt>
                <c:pt idx="45">
                  <c:v>350</c:v>
                </c:pt>
                <c:pt idx="46">
                  <c:v>355</c:v>
                </c:pt>
                <c:pt idx="47">
                  <c:v>360</c:v>
                </c:pt>
                <c:pt idx="48">
                  <c:v>365</c:v>
                </c:pt>
                <c:pt idx="49">
                  <c:v>370</c:v>
                </c:pt>
                <c:pt idx="50">
                  <c:v>375</c:v>
                </c:pt>
                <c:pt idx="51">
                  <c:v>380</c:v>
                </c:pt>
                <c:pt idx="52">
                  <c:v>385</c:v>
                </c:pt>
                <c:pt idx="53">
                  <c:v>390</c:v>
                </c:pt>
                <c:pt idx="54">
                  <c:v>395</c:v>
                </c:pt>
                <c:pt idx="55">
                  <c:v>400</c:v>
                </c:pt>
                <c:pt idx="56">
                  <c:v>405</c:v>
                </c:pt>
                <c:pt idx="57">
                  <c:v>410</c:v>
                </c:pt>
                <c:pt idx="58">
                  <c:v>415</c:v>
                </c:pt>
                <c:pt idx="59">
                  <c:v>420</c:v>
                </c:pt>
                <c:pt idx="60">
                  <c:v>425</c:v>
                </c:pt>
                <c:pt idx="61">
                  <c:v>430</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numCache>
            </c:numRef>
          </c:xVal>
          <c:yVal>
            <c:numRef>
              <c:f>'Structure C'!$L$4:$L$150</c:f>
              <c:numCache>
                <c:formatCode>0.00E+00</c:formatCode>
                <c:ptCount val="147"/>
                <c:pt idx="0">
                  <c:v>98.611042113329887</c:v>
                </c:pt>
                <c:pt idx="1">
                  <c:v>91.665725568835413</c:v>
                </c:pt>
                <c:pt idx="2">
                  <c:v>85.469716288062486</c:v>
                </c:pt>
                <c:pt idx="3">
                  <c:v>79.918236616277781</c:v>
                </c:pt>
                <c:pt idx="4">
                  <c:v>74.924236036531866</c:v>
                </c:pt>
                <c:pt idx="5">
                  <c:v>70.414907887168525</c:v>
                </c:pt>
                <c:pt idx="6">
                  <c:v>66.328979410344274</c:v>
                </c:pt>
                <c:pt idx="7">
                  <c:v>62.614584943202935</c:v>
                </c:pt>
                <c:pt idx="8">
                  <c:v>59.227583112811828</c:v>
                </c:pt>
                <c:pt idx="9">
                  <c:v>56.130215162160589</c:v>
                </c:pt>
                <c:pt idx="10">
                  <c:v>53.290027593801433</c:v>
                </c:pt>
                <c:pt idx="11">
                  <c:v>50.67900124335533</c:v>
                </c:pt>
                <c:pt idx="12">
                  <c:v>48.272842777870771</c:v>
                </c:pt>
                <c:pt idx="13">
                  <c:v>46.050404893563886</c:v>
                </c:pt>
                <c:pt idx="14">
                  <c:v>43.993209166448288</c:v>
                </c:pt>
                <c:pt idx="15">
                  <c:v>42.085051293593239</c:v>
                </c:pt>
                <c:pt idx="16">
                  <c:v>40.311672854102092</c:v>
                </c:pt>
                <c:pt idx="17">
                  <c:v>38.660487077650295</c:v>
                </c:pt>
                <c:pt idx="18">
                  <c:v>37.120348695515162</c:v>
                </c:pt>
                <c:pt idx="19">
                  <c:v>35.681359955098834</c:v>
                </c:pt>
                <c:pt idx="20">
                  <c:v>34.334706444374589</c:v>
                </c:pt>
                <c:pt idx="21">
                  <c:v>33.072517601654958</c:v>
                </c:pt>
                <c:pt idx="22">
                  <c:v>31.887747756460239</c:v>
                </c:pt>
                <c:pt idx="23">
                  <c:v>30.774074317677879</c:v>
                </c:pt>
                <c:pt idx="24">
                  <c:v>29.725810340058548</c:v>
                </c:pt>
                <c:pt idx="25">
                  <c:v>28.737829193262748</c:v>
                </c:pt>
                <c:pt idx="26">
                  <c:v>27.805499455128537</c:v>
                </c:pt>
                <c:pt idx="27">
                  <c:v>26.924628472622249</c:v>
                </c:pt>
                <c:pt idx="28">
                  <c:v>26.091413295609115</c:v>
                </c:pt>
                <c:pt idx="29">
                  <c:v>25.302397902267035</c:v>
                </c:pt>
                <c:pt idx="30">
                  <c:v>24.554435810172134</c:v>
                </c:pt>
                <c:pt idx="31">
                  <c:v>23.84465731129643</c:v>
                </c:pt>
                <c:pt idx="32">
                  <c:v>23.170440688303408</c:v>
                </c:pt>
                <c:pt idx="33">
                  <c:v>22.529386868316973</c:v>
                </c:pt>
                <c:pt idx="34">
                  <c:v>21.919297052535072</c:v>
                </c:pt>
                <c:pt idx="35">
                  <c:v>21.338152928676912</c:v>
                </c:pt>
                <c:pt idx="36">
                  <c:v>20.784099130718978</c:v>
                </c:pt>
                <c:pt idx="37">
                  <c:v>20.255427658652831</c:v>
                </c:pt>
                <c:pt idx="38">
                  <c:v>19.750564011677024</c:v>
                </c:pt>
                <c:pt idx="39">
                  <c:v>19.268054822611635</c:v>
                </c:pt>
                <c:pt idx="40">
                  <c:v>18.806556810455568</c:v>
                </c:pt>
                <c:pt idx="41">
                  <c:v>18.364826892760568</c:v>
                </c:pt>
                <c:pt idx="42">
                  <c:v>17.941713320584487</c:v>
                </c:pt>
                <c:pt idx="43">
                  <c:v>17.536147716799189</c:v>
                </c:pt>
                <c:pt idx="44">
                  <c:v>17.147137913950683</c:v>
                </c:pt>
                <c:pt idx="45">
                  <c:v>16.773761501105891</c:v>
                </c:pt>
                <c:pt idx="46">
                  <c:v>16.415160000507139</c:v>
                </c:pt>
                <c:pt idx="47">
                  <c:v>16.070533604672605</c:v>
                </c:pt>
                <c:pt idx="48">
                  <c:v>15.739136413064204</c:v>
                </c:pt>
                <c:pt idx="49">
                  <c:v>15.42027211478884</c:v>
                </c:pt>
                <c:pt idx="50">
                  <c:v>15.113290070172631</c:v>
                </c:pt>
                <c:pt idx="51">
                  <c:v>14.817581749587974</c:v>
                </c:pt>
                <c:pt idx="52">
                  <c:v>14.532577492740002</c:v>
                </c:pt>
                <c:pt idx="53">
                  <c:v>14.257743555831174</c:v>
                </c:pt>
                <c:pt idx="54">
                  <c:v>13.992579417705491</c:v>
                </c:pt>
                <c:pt idx="55">
                  <c:v>13.736615319299757</c:v>
                </c:pt>
                <c:pt idx="56">
                  <c:v>13.489410013559771</c:v>
                </c:pt>
                <c:pt idx="57">
                  <c:v>13.250548705466995</c:v>
                </c:pt>
                <c:pt idx="58">
                  <c:v>13.019641164011365</c:v>
                </c:pt>
                <c:pt idx="59">
                  <c:v>12.796319989877215</c:v>
                </c:pt>
                <c:pt idx="60">
                  <c:v>12.580239024314839</c:v>
                </c:pt>
                <c:pt idx="61">
                  <c:v>12.371071886178937</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numCache>
            </c:numRef>
          </c:yVal>
          <c:smooth val="1"/>
        </c:ser>
        <c:ser>
          <c:idx val="3"/>
          <c:order val="3"/>
          <c:tx>
            <c:v>SC_EXP</c:v>
          </c:tx>
          <c:marker>
            <c:symbol val="none"/>
          </c:marker>
          <c:xVal>
            <c:numRef>
              <c:f>'Structure C'!$A$4:$A$150</c:f>
              <c:numCache>
                <c:formatCode>General</c:formatCode>
                <c:ptCount val="147"/>
                <c:pt idx="0">
                  <c:v>125</c:v>
                </c:pt>
                <c:pt idx="1">
                  <c:v>130</c:v>
                </c:pt>
                <c:pt idx="2">
                  <c:v>135</c:v>
                </c:pt>
                <c:pt idx="3">
                  <c:v>140</c:v>
                </c:pt>
                <c:pt idx="4">
                  <c:v>145</c:v>
                </c:pt>
                <c:pt idx="5">
                  <c:v>150</c:v>
                </c:pt>
                <c:pt idx="6">
                  <c:v>155</c:v>
                </c:pt>
                <c:pt idx="7">
                  <c:v>160</c:v>
                </c:pt>
                <c:pt idx="8">
                  <c:v>165</c:v>
                </c:pt>
                <c:pt idx="9">
                  <c:v>170</c:v>
                </c:pt>
                <c:pt idx="10">
                  <c:v>175</c:v>
                </c:pt>
                <c:pt idx="11">
                  <c:v>180</c:v>
                </c:pt>
                <c:pt idx="12">
                  <c:v>185</c:v>
                </c:pt>
                <c:pt idx="13">
                  <c:v>190</c:v>
                </c:pt>
                <c:pt idx="14">
                  <c:v>195</c:v>
                </c:pt>
                <c:pt idx="15">
                  <c:v>200</c:v>
                </c:pt>
                <c:pt idx="16">
                  <c:v>205</c:v>
                </c:pt>
                <c:pt idx="17">
                  <c:v>210</c:v>
                </c:pt>
                <c:pt idx="18">
                  <c:v>215</c:v>
                </c:pt>
                <c:pt idx="19">
                  <c:v>220</c:v>
                </c:pt>
                <c:pt idx="20">
                  <c:v>225</c:v>
                </c:pt>
                <c:pt idx="21">
                  <c:v>230</c:v>
                </c:pt>
                <c:pt idx="22">
                  <c:v>235</c:v>
                </c:pt>
                <c:pt idx="23">
                  <c:v>240</c:v>
                </c:pt>
                <c:pt idx="24">
                  <c:v>245</c:v>
                </c:pt>
                <c:pt idx="25">
                  <c:v>250</c:v>
                </c:pt>
                <c:pt idx="26">
                  <c:v>255</c:v>
                </c:pt>
                <c:pt idx="27">
                  <c:v>260</c:v>
                </c:pt>
                <c:pt idx="28">
                  <c:v>265</c:v>
                </c:pt>
                <c:pt idx="29">
                  <c:v>270</c:v>
                </c:pt>
                <c:pt idx="30">
                  <c:v>275</c:v>
                </c:pt>
                <c:pt idx="31">
                  <c:v>280</c:v>
                </c:pt>
                <c:pt idx="32">
                  <c:v>285</c:v>
                </c:pt>
                <c:pt idx="33">
                  <c:v>290</c:v>
                </c:pt>
                <c:pt idx="34">
                  <c:v>295</c:v>
                </c:pt>
                <c:pt idx="35">
                  <c:v>300</c:v>
                </c:pt>
                <c:pt idx="36">
                  <c:v>305</c:v>
                </c:pt>
                <c:pt idx="37">
                  <c:v>310</c:v>
                </c:pt>
                <c:pt idx="38">
                  <c:v>315</c:v>
                </c:pt>
                <c:pt idx="39">
                  <c:v>320</c:v>
                </c:pt>
                <c:pt idx="40">
                  <c:v>325</c:v>
                </c:pt>
                <c:pt idx="41">
                  <c:v>330</c:v>
                </c:pt>
                <c:pt idx="42">
                  <c:v>335</c:v>
                </c:pt>
                <c:pt idx="43">
                  <c:v>340</c:v>
                </c:pt>
                <c:pt idx="44">
                  <c:v>345</c:v>
                </c:pt>
                <c:pt idx="45">
                  <c:v>350</c:v>
                </c:pt>
                <c:pt idx="46">
                  <c:v>355</c:v>
                </c:pt>
                <c:pt idx="47">
                  <c:v>360</c:v>
                </c:pt>
                <c:pt idx="48">
                  <c:v>365</c:v>
                </c:pt>
                <c:pt idx="49">
                  <c:v>370</c:v>
                </c:pt>
                <c:pt idx="50">
                  <c:v>375</c:v>
                </c:pt>
                <c:pt idx="51">
                  <c:v>380</c:v>
                </c:pt>
                <c:pt idx="52">
                  <c:v>385</c:v>
                </c:pt>
                <c:pt idx="53">
                  <c:v>390</c:v>
                </c:pt>
                <c:pt idx="54">
                  <c:v>395</c:v>
                </c:pt>
                <c:pt idx="55">
                  <c:v>400</c:v>
                </c:pt>
                <c:pt idx="56">
                  <c:v>405</c:v>
                </c:pt>
                <c:pt idx="57">
                  <c:v>410</c:v>
                </c:pt>
                <c:pt idx="58">
                  <c:v>415</c:v>
                </c:pt>
                <c:pt idx="59">
                  <c:v>420</c:v>
                </c:pt>
                <c:pt idx="60">
                  <c:v>425</c:v>
                </c:pt>
                <c:pt idx="61">
                  <c:v>430</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numCache>
            </c:numRef>
          </c:xVal>
          <c:yVal>
            <c:numRef>
              <c:f>'Structure C'!$M$4:$M$150</c:f>
              <c:numCache>
                <c:formatCode>0.00E+00</c:formatCode>
                <c:ptCount val="147"/>
                <c:pt idx="0">
                  <c:v>54.193931691342854</c:v>
                </c:pt>
                <c:pt idx="1">
                  <c:v>50.376975675864252</c:v>
                </c:pt>
                <c:pt idx="2">
                  <c:v>46.971818438653138</c:v>
                </c:pt>
                <c:pt idx="3">
                  <c:v>43.920877046381726</c:v>
                </c:pt>
                <c:pt idx="4">
                  <c:v>41.17631091580342</c:v>
                </c:pt>
                <c:pt idx="5">
                  <c:v>38.698107496965271</c:v>
                </c:pt>
                <c:pt idx="6">
                  <c:v>36.452592957992628</c:v>
                </c:pt>
                <c:pt idx="7">
                  <c:v>34.411263349127772</c:v>
                </c:pt>
                <c:pt idx="8">
                  <c:v>32.549859779092323</c:v>
                </c:pt>
                <c:pt idx="9">
                  <c:v>30.847631067751504</c:v>
                </c:pt>
                <c:pt idx="10">
                  <c:v>29.286741660525067</c:v>
                </c:pt>
                <c:pt idx="11">
                  <c:v>27.851792991006395</c:v>
                </c:pt>
                <c:pt idx="12">
                  <c:v>26.52943410783838</c:v>
                </c:pt>
                <c:pt idx="13">
                  <c:v>25.308043031249213</c:v>
                </c:pt>
                <c:pt idx="14">
                  <c:v>24.177464524808766</c:v>
                </c:pt>
                <c:pt idx="15">
                  <c:v>23.1287931468209</c:v>
                </c:pt>
                <c:pt idx="16">
                  <c:v>22.154192859134742</c:v>
                </c:pt>
                <c:pt idx="17">
                  <c:v>21.246746317033452</c:v>
                </c:pt>
                <c:pt idx="18">
                  <c:v>20.400328385654912</c:v>
                </c:pt>
                <c:pt idx="19">
                  <c:v>19.609499530879106</c:v>
                </c:pt>
                <c:pt idx="20">
                  <c:v>18.869415592934072</c:v>
                </c:pt>
                <c:pt idx="21">
                  <c:v>18.175751126379605</c:v>
                </c:pt>
                <c:pt idx="22">
                  <c:v>17.524634023422166</c:v>
                </c:pt>
                <c:pt idx="23">
                  <c:v>16.912589560911861</c:v>
                </c:pt>
                <c:pt idx="24">
                  <c:v>16.336492349280039</c:v>
                </c:pt>
                <c:pt idx="25">
                  <c:v>15.793524932707646</c:v>
                </c:pt>
                <c:pt idx="26">
                  <c:v>15.281142008245853</c:v>
                </c:pt>
                <c:pt idx="27">
                  <c:v>14.797039408458211</c:v>
                </c:pt>
                <c:pt idx="28">
                  <c:v>14.339127135962961</c:v>
                </c:pt>
                <c:pt idx="29">
                  <c:v>13.905505855690343</c:v>
                </c:pt>
                <c:pt idx="30">
                  <c:v>13.494446346957847</c:v>
                </c:pt>
                <c:pt idx="31">
                  <c:v>13.104371496721033</c:v>
                </c:pt>
                <c:pt idx="32">
                  <c:v>12.733840480836834</c:v>
                </c:pt>
                <c:pt idx="33">
                  <c:v>12.381534834468217</c:v>
                </c:pt>
                <c:pt idx="34">
                  <c:v>12.046246157931666</c:v>
                </c:pt>
                <c:pt idx="35">
                  <c:v>11.726865241999363</c:v>
                </c:pt>
                <c:pt idx="36">
                  <c:v>11.422372428249833</c:v>
                </c:pt>
                <c:pt idx="37">
                  <c:v>11.131829046592967</c:v>
                </c:pt>
                <c:pt idx="38">
                  <c:v>10.854369794451564</c:v>
                </c:pt>
                <c:pt idx="39">
                  <c:v>10.589195940973745</c:v>
                </c:pt>
                <c:pt idx="40">
                  <c:v>10.335569255660625</c:v>
                </c:pt>
                <c:pt idx="41">
                  <c:v>10.092806574397475</c:v>
                </c:pt>
                <c:pt idx="42">
                  <c:v>9.8602749274665165</c:v>
                </c:pt>
                <c:pt idx="43">
                  <c:v>9.6373871640186994</c:v>
                </c:pt>
                <c:pt idx="44">
                  <c:v>9.4235980159575128</c:v>
                </c:pt>
                <c:pt idx="45">
                  <c:v>9.2184005514624694</c:v>
                </c:pt>
                <c:pt idx="46">
                  <c:v>9.0213229746376857</c:v>
                </c:pt>
                <c:pt idx="47">
                  <c:v>8.8319257331662282</c:v>
                </c:pt>
                <c:pt idx="48">
                  <c:v>8.6497989005130638</c:v>
                </c:pt>
                <c:pt idx="49">
                  <c:v>8.4745598032557492</c:v>
                </c:pt>
                <c:pt idx="50">
                  <c:v>8.3058508676247893</c:v>
                </c:pt>
                <c:pt idx="51">
                  <c:v>8.1433376623804001</c:v>
                </c:pt>
                <c:pt idx="52">
                  <c:v>7.9867071178049756</c:v>
                </c:pt>
                <c:pt idx="53">
                  <c:v>7.83566590290551</c:v>
                </c:pt>
                <c:pt idx="54">
                  <c:v>7.6899389449441298</c:v>
                </c:pt>
                <c:pt idx="55">
                  <c:v>7.549268077187814</c:v>
                </c:pt>
                <c:pt idx="56">
                  <c:v>7.4134108023238738</c:v>
                </c:pt>
                <c:pt idx="57">
                  <c:v>7.282139160354939</c:v>
                </c:pt>
                <c:pt idx="58">
                  <c:v>7.1552386909908625</c:v>
                </c:pt>
                <c:pt idx="59">
                  <c:v>7.0325074816162809</c:v>
                </c:pt>
                <c:pt idx="60">
                  <c:v>6.9137552928499497</c:v>
                </c:pt>
                <c:pt idx="61">
                  <c:v>6.7988027545410743</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numCache>
            </c:numRef>
          </c:yVal>
          <c:smooth val="1"/>
        </c:ser>
        <c:dLbls>
          <c:showLegendKey val="0"/>
          <c:showVal val="0"/>
          <c:showCatName val="0"/>
          <c:showSerName val="0"/>
          <c:showPercent val="0"/>
          <c:showBubbleSize val="0"/>
        </c:dLbls>
        <c:axId val="281899232"/>
        <c:axId val="281895312"/>
      </c:scatterChart>
      <c:valAx>
        <c:axId val="281899232"/>
        <c:scaling>
          <c:orientation val="minMax"/>
        </c:scaling>
        <c:delete val="0"/>
        <c:axPos val="b"/>
        <c:title>
          <c:tx>
            <c:rich>
              <a:bodyPr/>
              <a:lstStyle/>
              <a:p>
                <a:pPr>
                  <a:defRPr/>
                </a:pPr>
                <a:r>
                  <a:rPr lang="en-US"/>
                  <a:t>Flange Length (W,</a:t>
                </a:r>
                <a:r>
                  <a:rPr lang="en-US" baseline="0"/>
                  <a:t> mm)</a:t>
                </a:r>
                <a:endParaRPr lang="en-US"/>
              </a:p>
            </c:rich>
          </c:tx>
          <c:layout>
            <c:manualLayout>
              <c:xMode val="edge"/>
              <c:yMode val="edge"/>
              <c:x val="0.38728992298489323"/>
              <c:y val="0.92228617019208936"/>
            </c:manualLayout>
          </c:layout>
          <c:overlay val="0"/>
        </c:title>
        <c:numFmt formatCode="General" sourceLinked="1"/>
        <c:majorTickMark val="out"/>
        <c:minorTickMark val="none"/>
        <c:tickLblPos val="nextTo"/>
        <c:crossAx val="281895312"/>
        <c:crosses val="autoZero"/>
        <c:crossBetween val="midCat"/>
      </c:valAx>
      <c:valAx>
        <c:axId val="281895312"/>
        <c:scaling>
          <c:orientation val="minMax"/>
        </c:scaling>
        <c:delete val="0"/>
        <c:axPos val="l"/>
        <c:majorGridlines>
          <c:spPr>
            <a:ln>
              <a:noFill/>
            </a:ln>
          </c:spPr>
        </c:majorGridlines>
        <c:title>
          <c:tx>
            <c:rich>
              <a:bodyPr rot="-5400000" vert="horz"/>
              <a:lstStyle/>
              <a:p>
                <a:pPr>
                  <a:defRPr/>
                </a:pPr>
                <a:r>
                  <a:rPr lang="en-US"/>
                  <a:t>Local Stress (MPa)</a:t>
                </a:r>
              </a:p>
            </c:rich>
          </c:tx>
          <c:layout>
            <c:manualLayout>
              <c:xMode val="edge"/>
              <c:yMode val="edge"/>
              <c:x val="1.4165974170925199E-2"/>
              <c:y val="0.3040682952847692"/>
            </c:manualLayout>
          </c:layout>
          <c:overlay val="0"/>
        </c:title>
        <c:numFmt formatCode="General" sourceLinked="0"/>
        <c:majorTickMark val="out"/>
        <c:minorTickMark val="none"/>
        <c:tickLblPos val="nextTo"/>
        <c:crossAx val="28189923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v>SC_mem_SUS</c:v>
          </c:tx>
          <c:marker>
            <c:symbol val="none"/>
          </c:marker>
          <c:xVal>
            <c:numRef>
              <c:f>Saddle_Zick!$A$12:$A$170</c:f>
              <c:numCache>
                <c:formatCode>General</c:formatCode>
                <c:ptCount val="159"/>
                <c:pt idx="0">
                  <c:v>120</c:v>
                </c:pt>
                <c:pt idx="1">
                  <c:v>121</c:v>
                </c:pt>
                <c:pt idx="2">
                  <c:v>122</c:v>
                </c:pt>
                <c:pt idx="3">
                  <c:v>123</c:v>
                </c:pt>
                <c:pt idx="4">
                  <c:v>124</c:v>
                </c:pt>
                <c:pt idx="5">
                  <c:v>125</c:v>
                </c:pt>
                <c:pt idx="6">
                  <c:v>126</c:v>
                </c:pt>
                <c:pt idx="7">
                  <c:v>127</c:v>
                </c:pt>
                <c:pt idx="8">
                  <c:v>128</c:v>
                </c:pt>
                <c:pt idx="9">
                  <c:v>129</c:v>
                </c:pt>
                <c:pt idx="10">
                  <c:v>130</c:v>
                </c:pt>
                <c:pt idx="11">
                  <c:v>131</c:v>
                </c:pt>
                <c:pt idx="12">
                  <c:v>132</c:v>
                </c:pt>
                <c:pt idx="13">
                  <c:v>133</c:v>
                </c:pt>
                <c:pt idx="14">
                  <c:v>134</c:v>
                </c:pt>
                <c:pt idx="15">
                  <c:v>135</c:v>
                </c:pt>
                <c:pt idx="16">
                  <c:v>136</c:v>
                </c:pt>
                <c:pt idx="17">
                  <c:v>137</c:v>
                </c:pt>
                <c:pt idx="18">
                  <c:v>138</c:v>
                </c:pt>
                <c:pt idx="19">
                  <c:v>139</c:v>
                </c:pt>
                <c:pt idx="20">
                  <c:v>140</c:v>
                </c:pt>
                <c:pt idx="21">
                  <c:v>141</c:v>
                </c:pt>
                <c:pt idx="22">
                  <c:v>142</c:v>
                </c:pt>
                <c:pt idx="23">
                  <c:v>143</c:v>
                </c:pt>
                <c:pt idx="24">
                  <c:v>144</c:v>
                </c:pt>
                <c:pt idx="25">
                  <c:v>145</c:v>
                </c:pt>
                <c:pt idx="26">
                  <c:v>146</c:v>
                </c:pt>
                <c:pt idx="27">
                  <c:v>147</c:v>
                </c:pt>
                <c:pt idx="28">
                  <c:v>148</c:v>
                </c:pt>
                <c:pt idx="29">
                  <c:v>149</c:v>
                </c:pt>
                <c:pt idx="30">
                  <c:v>150</c:v>
                </c:pt>
                <c:pt idx="31">
                  <c:v>151</c:v>
                </c:pt>
                <c:pt idx="32">
                  <c:v>152</c:v>
                </c:pt>
                <c:pt idx="33">
                  <c:v>153</c:v>
                </c:pt>
                <c:pt idx="34">
                  <c:v>154</c:v>
                </c:pt>
                <c:pt idx="35">
                  <c:v>155</c:v>
                </c:pt>
                <c:pt idx="36">
                  <c:v>156</c:v>
                </c:pt>
                <c:pt idx="37">
                  <c:v>157</c:v>
                </c:pt>
                <c:pt idx="38">
                  <c:v>158</c:v>
                </c:pt>
                <c:pt idx="39">
                  <c:v>159</c:v>
                </c:pt>
                <c:pt idx="40">
                  <c:v>160</c:v>
                </c:pt>
                <c:pt idx="41">
                  <c:v>161</c:v>
                </c:pt>
                <c:pt idx="42">
                  <c:v>162</c:v>
                </c:pt>
                <c:pt idx="43">
                  <c:v>163</c:v>
                </c:pt>
                <c:pt idx="44">
                  <c:v>164</c:v>
                </c:pt>
                <c:pt idx="45">
                  <c:v>165</c:v>
                </c:pt>
                <c:pt idx="46">
                  <c:v>166</c:v>
                </c:pt>
                <c:pt idx="47">
                  <c:v>167</c:v>
                </c:pt>
                <c:pt idx="48">
                  <c:v>168</c:v>
                </c:pt>
                <c:pt idx="49">
                  <c:v>169</c:v>
                </c:pt>
                <c:pt idx="50">
                  <c:v>170</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numCache>
            </c:numRef>
          </c:xVal>
          <c:yVal>
            <c:numRef>
              <c:f>Saddle_Zick!$F$12:$F$170</c:f>
              <c:numCache>
                <c:formatCode>0.00</c:formatCode>
                <c:ptCount val="15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numCache>
            </c:numRef>
          </c:yVal>
          <c:smooth val="1"/>
        </c:ser>
        <c:ser>
          <c:idx val="1"/>
          <c:order val="1"/>
          <c:tx>
            <c:v>SC_Bend_SUS</c:v>
          </c:tx>
          <c:marker>
            <c:symbol val="none"/>
          </c:marker>
          <c:xVal>
            <c:numRef>
              <c:f>Saddle_Zick!$A$12:$A$170</c:f>
              <c:numCache>
                <c:formatCode>General</c:formatCode>
                <c:ptCount val="159"/>
                <c:pt idx="0">
                  <c:v>120</c:v>
                </c:pt>
                <c:pt idx="1">
                  <c:v>121</c:v>
                </c:pt>
                <c:pt idx="2">
                  <c:v>122</c:v>
                </c:pt>
                <c:pt idx="3">
                  <c:v>123</c:v>
                </c:pt>
                <c:pt idx="4">
                  <c:v>124</c:v>
                </c:pt>
                <c:pt idx="5">
                  <c:v>125</c:v>
                </c:pt>
                <c:pt idx="6">
                  <c:v>126</c:v>
                </c:pt>
                <c:pt idx="7">
                  <c:v>127</c:v>
                </c:pt>
                <c:pt idx="8">
                  <c:v>128</c:v>
                </c:pt>
                <c:pt idx="9">
                  <c:v>129</c:v>
                </c:pt>
                <c:pt idx="10">
                  <c:v>130</c:v>
                </c:pt>
                <c:pt idx="11">
                  <c:v>131</c:v>
                </c:pt>
                <c:pt idx="12">
                  <c:v>132</c:v>
                </c:pt>
                <c:pt idx="13">
                  <c:v>133</c:v>
                </c:pt>
                <c:pt idx="14">
                  <c:v>134</c:v>
                </c:pt>
                <c:pt idx="15">
                  <c:v>135</c:v>
                </c:pt>
                <c:pt idx="16">
                  <c:v>136</c:v>
                </c:pt>
                <c:pt idx="17">
                  <c:v>137</c:v>
                </c:pt>
                <c:pt idx="18">
                  <c:v>138</c:v>
                </c:pt>
                <c:pt idx="19">
                  <c:v>139</c:v>
                </c:pt>
                <c:pt idx="20">
                  <c:v>140</c:v>
                </c:pt>
                <c:pt idx="21">
                  <c:v>141</c:v>
                </c:pt>
                <c:pt idx="22">
                  <c:v>142</c:v>
                </c:pt>
                <c:pt idx="23">
                  <c:v>143</c:v>
                </c:pt>
                <c:pt idx="24">
                  <c:v>144</c:v>
                </c:pt>
                <c:pt idx="25">
                  <c:v>145</c:v>
                </c:pt>
                <c:pt idx="26">
                  <c:v>146</c:v>
                </c:pt>
                <c:pt idx="27">
                  <c:v>147</c:v>
                </c:pt>
                <c:pt idx="28">
                  <c:v>148</c:v>
                </c:pt>
                <c:pt idx="29">
                  <c:v>149</c:v>
                </c:pt>
                <c:pt idx="30">
                  <c:v>150</c:v>
                </c:pt>
                <c:pt idx="31">
                  <c:v>151</c:v>
                </c:pt>
                <c:pt idx="32">
                  <c:v>152</c:v>
                </c:pt>
                <c:pt idx="33">
                  <c:v>153</c:v>
                </c:pt>
                <c:pt idx="34">
                  <c:v>154</c:v>
                </c:pt>
                <c:pt idx="35">
                  <c:v>155</c:v>
                </c:pt>
                <c:pt idx="36">
                  <c:v>156</c:v>
                </c:pt>
                <c:pt idx="37">
                  <c:v>157</c:v>
                </c:pt>
                <c:pt idx="38">
                  <c:v>158</c:v>
                </c:pt>
                <c:pt idx="39">
                  <c:v>159</c:v>
                </c:pt>
                <c:pt idx="40">
                  <c:v>160</c:v>
                </c:pt>
                <c:pt idx="41">
                  <c:v>161</c:v>
                </c:pt>
                <c:pt idx="42">
                  <c:v>162</c:v>
                </c:pt>
                <c:pt idx="43">
                  <c:v>163</c:v>
                </c:pt>
                <c:pt idx="44">
                  <c:v>164</c:v>
                </c:pt>
                <c:pt idx="45">
                  <c:v>165</c:v>
                </c:pt>
                <c:pt idx="46">
                  <c:v>166</c:v>
                </c:pt>
                <c:pt idx="47">
                  <c:v>167</c:v>
                </c:pt>
                <c:pt idx="48">
                  <c:v>168</c:v>
                </c:pt>
                <c:pt idx="49">
                  <c:v>169</c:v>
                </c:pt>
                <c:pt idx="50">
                  <c:v>170</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numCache>
            </c:numRef>
          </c:xVal>
          <c:yVal>
            <c:numRef>
              <c:f>Saddle_Zick!$G$12:$G$170</c:f>
              <c:numCache>
                <c:formatCode>0.000</c:formatCode>
                <c:ptCount val="15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numCache>
            </c:numRef>
          </c:yVal>
          <c:smooth val="1"/>
        </c:ser>
        <c:ser>
          <c:idx val="2"/>
          <c:order val="2"/>
          <c:tx>
            <c:v>SC-mem-EXP</c:v>
          </c:tx>
          <c:marker>
            <c:symbol val="none"/>
          </c:marker>
          <c:xVal>
            <c:numRef>
              <c:f>Saddle_Zick!$A$12:$A$170</c:f>
              <c:numCache>
                <c:formatCode>General</c:formatCode>
                <c:ptCount val="159"/>
                <c:pt idx="0">
                  <c:v>120</c:v>
                </c:pt>
                <c:pt idx="1">
                  <c:v>121</c:v>
                </c:pt>
                <c:pt idx="2">
                  <c:v>122</c:v>
                </c:pt>
                <c:pt idx="3">
                  <c:v>123</c:v>
                </c:pt>
                <c:pt idx="4">
                  <c:v>124</c:v>
                </c:pt>
                <c:pt idx="5">
                  <c:v>125</c:v>
                </c:pt>
                <c:pt idx="6">
                  <c:v>126</c:v>
                </c:pt>
                <c:pt idx="7">
                  <c:v>127</c:v>
                </c:pt>
                <c:pt idx="8">
                  <c:v>128</c:v>
                </c:pt>
                <c:pt idx="9">
                  <c:v>129</c:v>
                </c:pt>
                <c:pt idx="10">
                  <c:v>130</c:v>
                </c:pt>
                <c:pt idx="11">
                  <c:v>131</c:v>
                </c:pt>
                <c:pt idx="12">
                  <c:v>132</c:v>
                </c:pt>
                <c:pt idx="13">
                  <c:v>133</c:v>
                </c:pt>
                <c:pt idx="14">
                  <c:v>134</c:v>
                </c:pt>
                <c:pt idx="15">
                  <c:v>135</c:v>
                </c:pt>
                <c:pt idx="16">
                  <c:v>136</c:v>
                </c:pt>
                <c:pt idx="17">
                  <c:v>137</c:v>
                </c:pt>
                <c:pt idx="18">
                  <c:v>138</c:v>
                </c:pt>
                <c:pt idx="19">
                  <c:v>139</c:v>
                </c:pt>
                <c:pt idx="20">
                  <c:v>140</c:v>
                </c:pt>
                <c:pt idx="21">
                  <c:v>141</c:v>
                </c:pt>
                <c:pt idx="22">
                  <c:v>142</c:v>
                </c:pt>
                <c:pt idx="23">
                  <c:v>143</c:v>
                </c:pt>
                <c:pt idx="24">
                  <c:v>144</c:v>
                </c:pt>
                <c:pt idx="25">
                  <c:v>145</c:v>
                </c:pt>
                <c:pt idx="26">
                  <c:v>146</c:v>
                </c:pt>
                <c:pt idx="27">
                  <c:v>147</c:v>
                </c:pt>
                <c:pt idx="28">
                  <c:v>148</c:v>
                </c:pt>
                <c:pt idx="29">
                  <c:v>149</c:v>
                </c:pt>
                <c:pt idx="30">
                  <c:v>150</c:v>
                </c:pt>
                <c:pt idx="31">
                  <c:v>151</c:v>
                </c:pt>
                <c:pt idx="32">
                  <c:v>152</c:v>
                </c:pt>
                <c:pt idx="33">
                  <c:v>153</c:v>
                </c:pt>
                <c:pt idx="34">
                  <c:v>154</c:v>
                </c:pt>
                <c:pt idx="35">
                  <c:v>155</c:v>
                </c:pt>
                <c:pt idx="36">
                  <c:v>156</c:v>
                </c:pt>
                <c:pt idx="37">
                  <c:v>157</c:v>
                </c:pt>
                <c:pt idx="38">
                  <c:v>158</c:v>
                </c:pt>
                <c:pt idx="39">
                  <c:v>159</c:v>
                </c:pt>
                <c:pt idx="40">
                  <c:v>160</c:v>
                </c:pt>
                <c:pt idx="41">
                  <c:v>161</c:v>
                </c:pt>
                <c:pt idx="42">
                  <c:v>162</c:v>
                </c:pt>
                <c:pt idx="43">
                  <c:v>163</c:v>
                </c:pt>
                <c:pt idx="44">
                  <c:v>164</c:v>
                </c:pt>
                <c:pt idx="45">
                  <c:v>165</c:v>
                </c:pt>
                <c:pt idx="46">
                  <c:v>166</c:v>
                </c:pt>
                <c:pt idx="47">
                  <c:v>167</c:v>
                </c:pt>
                <c:pt idx="48">
                  <c:v>168</c:v>
                </c:pt>
                <c:pt idx="49">
                  <c:v>169</c:v>
                </c:pt>
                <c:pt idx="50">
                  <c:v>170</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numCache>
            </c:numRef>
          </c:xVal>
          <c:yVal>
            <c:numRef>
              <c:f>Saddle_Zick!$J$12:$J$170</c:f>
              <c:numCache>
                <c:formatCode>0.00</c:formatCode>
                <c:ptCount val="159"/>
                <c:pt idx="0">
                  <c:v>2.2249595143146381E-2</c:v>
                </c:pt>
                <c:pt idx="1">
                  <c:v>2.2249595143146381E-2</c:v>
                </c:pt>
                <c:pt idx="2">
                  <c:v>2.2249595143146381E-2</c:v>
                </c:pt>
                <c:pt idx="3">
                  <c:v>2.2249595143146381E-2</c:v>
                </c:pt>
                <c:pt idx="4">
                  <c:v>2.2249595143146381E-2</c:v>
                </c:pt>
                <c:pt idx="5">
                  <c:v>2.2249595143146381E-2</c:v>
                </c:pt>
                <c:pt idx="6">
                  <c:v>2.2249595143146381E-2</c:v>
                </c:pt>
                <c:pt idx="7">
                  <c:v>2.2249595143146381E-2</c:v>
                </c:pt>
                <c:pt idx="8">
                  <c:v>2.2249595143146381E-2</c:v>
                </c:pt>
                <c:pt idx="9">
                  <c:v>2.2249595143146381E-2</c:v>
                </c:pt>
                <c:pt idx="10">
                  <c:v>2.2249595143146381E-2</c:v>
                </c:pt>
                <c:pt idx="11">
                  <c:v>2.2249595143146381E-2</c:v>
                </c:pt>
                <c:pt idx="12">
                  <c:v>2.2249595143146381E-2</c:v>
                </c:pt>
                <c:pt idx="13">
                  <c:v>2.2249595143146381E-2</c:v>
                </c:pt>
                <c:pt idx="14">
                  <c:v>2.2249595143146381E-2</c:v>
                </c:pt>
                <c:pt idx="15">
                  <c:v>2.2249595143146381E-2</c:v>
                </c:pt>
                <c:pt idx="16">
                  <c:v>2.2249595143146381E-2</c:v>
                </c:pt>
                <c:pt idx="17">
                  <c:v>2.2249595143146381E-2</c:v>
                </c:pt>
                <c:pt idx="18">
                  <c:v>2.2249595143146381E-2</c:v>
                </c:pt>
                <c:pt idx="19">
                  <c:v>2.2249595143146381E-2</c:v>
                </c:pt>
                <c:pt idx="20">
                  <c:v>2.2249595143146381E-2</c:v>
                </c:pt>
                <c:pt idx="21">
                  <c:v>2.2249595143146381E-2</c:v>
                </c:pt>
                <c:pt idx="22">
                  <c:v>2.2249595143146381E-2</c:v>
                </c:pt>
                <c:pt idx="23">
                  <c:v>2.2249595143146381E-2</c:v>
                </c:pt>
                <c:pt idx="24">
                  <c:v>2.2249595143146381E-2</c:v>
                </c:pt>
                <c:pt idx="25">
                  <c:v>2.2249595143146381E-2</c:v>
                </c:pt>
                <c:pt idx="26">
                  <c:v>2.2249595143146381E-2</c:v>
                </c:pt>
                <c:pt idx="27">
                  <c:v>2.2249595143146381E-2</c:v>
                </c:pt>
                <c:pt idx="28">
                  <c:v>2.2249595143146381E-2</c:v>
                </c:pt>
                <c:pt idx="29">
                  <c:v>2.2249595143146381E-2</c:v>
                </c:pt>
                <c:pt idx="30">
                  <c:v>2.2249595143146381E-2</c:v>
                </c:pt>
                <c:pt idx="31">
                  <c:v>2.2249595143146381E-2</c:v>
                </c:pt>
                <c:pt idx="32">
                  <c:v>2.2249595143146381E-2</c:v>
                </c:pt>
                <c:pt idx="33">
                  <c:v>2.2249595143146381E-2</c:v>
                </c:pt>
                <c:pt idx="34">
                  <c:v>2.2249595143146381E-2</c:v>
                </c:pt>
                <c:pt idx="35">
                  <c:v>2.2249595143146381E-2</c:v>
                </c:pt>
                <c:pt idx="36">
                  <c:v>2.2249595143146381E-2</c:v>
                </c:pt>
                <c:pt idx="37">
                  <c:v>2.2249595143146381E-2</c:v>
                </c:pt>
                <c:pt idx="38">
                  <c:v>2.2249595143146381E-2</c:v>
                </c:pt>
                <c:pt idx="39">
                  <c:v>2.2249595143146381E-2</c:v>
                </c:pt>
                <c:pt idx="40">
                  <c:v>2.2249595143146381E-2</c:v>
                </c:pt>
                <c:pt idx="41">
                  <c:v>2.2249595143146381E-2</c:v>
                </c:pt>
                <c:pt idx="42">
                  <c:v>2.2249595143146381E-2</c:v>
                </c:pt>
                <c:pt idx="43">
                  <c:v>2.2249595143146381E-2</c:v>
                </c:pt>
                <c:pt idx="44">
                  <c:v>2.2249595143146381E-2</c:v>
                </c:pt>
                <c:pt idx="45">
                  <c:v>2.2249595143146381E-2</c:v>
                </c:pt>
                <c:pt idx="46">
                  <c:v>2.2249595143146381E-2</c:v>
                </c:pt>
                <c:pt idx="47">
                  <c:v>2.2249595143146381E-2</c:v>
                </c:pt>
                <c:pt idx="48">
                  <c:v>2.2249595143146381E-2</c:v>
                </c:pt>
                <c:pt idx="49">
                  <c:v>2.2249595143146381E-2</c:v>
                </c:pt>
                <c:pt idx="50">
                  <c:v>2.2249595143146381E-2</c:v>
                </c:pt>
                <c:pt idx="51">
                  <c:v>2.2249595143146381E-2</c:v>
                </c:pt>
                <c:pt idx="52">
                  <c:v>2.2249595143146381E-2</c:v>
                </c:pt>
                <c:pt idx="53">
                  <c:v>2.2249595143146381E-2</c:v>
                </c:pt>
                <c:pt idx="54">
                  <c:v>2.2249595143146381E-2</c:v>
                </c:pt>
                <c:pt idx="55">
                  <c:v>2.2249595143146381E-2</c:v>
                </c:pt>
                <c:pt idx="56">
                  <c:v>2.2249595143146381E-2</c:v>
                </c:pt>
                <c:pt idx="57">
                  <c:v>2.2249595143146381E-2</c:v>
                </c:pt>
                <c:pt idx="58">
                  <c:v>2.2249595143146381E-2</c:v>
                </c:pt>
                <c:pt idx="59">
                  <c:v>2.2249595143146381E-2</c:v>
                </c:pt>
                <c:pt idx="60">
                  <c:v>2.2249595143146381E-2</c:v>
                </c:pt>
                <c:pt idx="61">
                  <c:v>2.2249595143146381E-2</c:v>
                </c:pt>
                <c:pt idx="62">
                  <c:v>2.2249595143146381E-2</c:v>
                </c:pt>
                <c:pt idx="63">
                  <c:v>2.2249595143146381E-2</c:v>
                </c:pt>
                <c:pt idx="64">
                  <c:v>2.2249595143146381E-2</c:v>
                </c:pt>
                <c:pt idx="65">
                  <c:v>2.2249595143146381E-2</c:v>
                </c:pt>
                <c:pt idx="66">
                  <c:v>2.2249595143146381E-2</c:v>
                </c:pt>
                <c:pt idx="67">
                  <c:v>2.2249595143146381E-2</c:v>
                </c:pt>
                <c:pt idx="68">
                  <c:v>2.2249595143146381E-2</c:v>
                </c:pt>
                <c:pt idx="69">
                  <c:v>2.2249595143146381E-2</c:v>
                </c:pt>
                <c:pt idx="70">
                  <c:v>2.2249595143146381E-2</c:v>
                </c:pt>
                <c:pt idx="71">
                  <c:v>2.2249595143146381E-2</c:v>
                </c:pt>
                <c:pt idx="72">
                  <c:v>2.2249595143146381E-2</c:v>
                </c:pt>
                <c:pt idx="73">
                  <c:v>2.2249595143146381E-2</c:v>
                </c:pt>
                <c:pt idx="74">
                  <c:v>2.2249595143146381E-2</c:v>
                </c:pt>
                <c:pt idx="75">
                  <c:v>2.2249595143146381E-2</c:v>
                </c:pt>
                <c:pt idx="76">
                  <c:v>2.2249595143146381E-2</c:v>
                </c:pt>
                <c:pt idx="77">
                  <c:v>2.2249595143146381E-2</c:v>
                </c:pt>
                <c:pt idx="78">
                  <c:v>2.2249595143146381E-2</c:v>
                </c:pt>
                <c:pt idx="79">
                  <c:v>2.2249595143146381E-2</c:v>
                </c:pt>
                <c:pt idx="80">
                  <c:v>2.2249595143146381E-2</c:v>
                </c:pt>
                <c:pt idx="81">
                  <c:v>2.2249595143146381E-2</c:v>
                </c:pt>
                <c:pt idx="82">
                  <c:v>2.2249595143146381E-2</c:v>
                </c:pt>
                <c:pt idx="83">
                  <c:v>2.2249595143146381E-2</c:v>
                </c:pt>
                <c:pt idx="84">
                  <c:v>2.2249595143146381E-2</c:v>
                </c:pt>
                <c:pt idx="85">
                  <c:v>2.2249595143146381E-2</c:v>
                </c:pt>
                <c:pt idx="86">
                  <c:v>2.2249595143146381E-2</c:v>
                </c:pt>
                <c:pt idx="87">
                  <c:v>2.2249595143146381E-2</c:v>
                </c:pt>
                <c:pt idx="88">
                  <c:v>2.2249595143146381E-2</c:v>
                </c:pt>
                <c:pt idx="89">
                  <c:v>2.2249595143146381E-2</c:v>
                </c:pt>
                <c:pt idx="90">
                  <c:v>2.2249595143146381E-2</c:v>
                </c:pt>
                <c:pt idx="91">
                  <c:v>2.2249595143146381E-2</c:v>
                </c:pt>
                <c:pt idx="92">
                  <c:v>2.2249595143146381E-2</c:v>
                </c:pt>
                <c:pt idx="93">
                  <c:v>2.2249595143146381E-2</c:v>
                </c:pt>
                <c:pt idx="94">
                  <c:v>2.2249595143146381E-2</c:v>
                </c:pt>
                <c:pt idx="95">
                  <c:v>2.2249595143146381E-2</c:v>
                </c:pt>
                <c:pt idx="96">
                  <c:v>2.2249595143146381E-2</c:v>
                </c:pt>
                <c:pt idx="97">
                  <c:v>2.2249595143146381E-2</c:v>
                </c:pt>
                <c:pt idx="98">
                  <c:v>2.2249595143146381E-2</c:v>
                </c:pt>
                <c:pt idx="99">
                  <c:v>2.2249595143146381E-2</c:v>
                </c:pt>
                <c:pt idx="100">
                  <c:v>2.2249595143146381E-2</c:v>
                </c:pt>
                <c:pt idx="101">
                  <c:v>2.2249595143146381E-2</c:v>
                </c:pt>
                <c:pt idx="102">
                  <c:v>2.2249595143146381E-2</c:v>
                </c:pt>
                <c:pt idx="103">
                  <c:v>2.2249595143146381E-2</c:v>
                </c:pt>
                <c:pt idx="104">
                  <c:v>2.2249595143146381E-2</c:v>
                </c:pt>
                <c:pt idx="105">
                  <c:v>2.2249595143146381E-2</c:v>
                </c:pt>
                <c:pt idx="106">
                  <c:v>2.2249595143146381E-2</c:v>
                </c:pt>
                <c:pt idx="107">
                  <c:v>2.2249595143146381E-2</c:v>
                </c:pt>
                <c:pt idx="108">
                  <c:v>2.2249595143146381E-2</c:v>
                </c:pt>
                <c:pt idx="109">
                  <c:v>2.2249595143146381E-2</c:v>
                </c:pt>
                <c:pt idx="110">
                  <c:v>2.2249595143146381E-2</c:v>
                </c:pt>
                <c:pt idx="111">
                  <c:v>2.2249595143146381E-2</c:v>
                </c:pt>
                <c:pt idx="112">
                  <c:v>2.2249595143146381E-2</c:v>
                </c:pt>
                <c:pt idx="113">
                  <c:v>2.2249595143146381E-2</c:v>
                </c:pt>
                <c:pt idx="114">
                  <c:v>2.2249595143146381E-2</c:v>
                </c:pt>
                <c:pt idx="115">
                  <c:v>2.2249595143146381E-2</c:v>
                </c:pt>
                <c:pt idx="116">
                  <c:v>2.2249595143146381E-2</c:v>
                </c:pt>
                <c:pt idx="117">
                  <c:v>2.2249595143146381E-2</c:v>
                </c:pt>
                <c:pt idx="118">
                  <c:v>2.2249595143146381E-2</c:v>
                </c:pt>
                <c:pt idx="119">
                  <c:v>2.2249595143146381E-2</c:v>
                </c:pt>
                <c:pt idx="120">
                  <c:v>2.2249595143146381E-2</c:v>
                </c:pt>
                <c:pt idx="121">
                  <c:v>2.2249595143146381E-2</c:v>
                </c:pt>
                <c:pt idx="122">
                  <c:v>2.2249595143146381E-2</c:v>
                </c:pt>
                <c:pt idx="123">
                  <c:v>2.2249595143146381E-2</c:v>
                </c:pt>
                <c:pt idx="124">
                  <c:v>2.2249595143146381E-2</c:v>
                </c:pt>
                <c:pt idx="125">
                  <c:v>2.2249595143146381E-2</c:v>
                </c:pt>
                <c:pt idx="126">
                  <c:v>2.2249595143146381E-2</c:v>
                </c:pt>
                <c:pt idx="127">
                  <c:v>2.2249595143146381E-2</c:v>
                </c:pt>
                <c:pt idx="128">
                  <c:v>2.2249595143146381E-2</c:v>
                </c:pt>
                <c:pt idx="129">
                  <c:v>2.2249595143146381E-2</c:v>
                </c:pt>
                <c:pt idx="130">
                  <c:v>2.2249595143146381E-2</c:v>
                </c:pt>
                <c:pt idx="131">
                  <c:v>2.2249595143146381E-2</c:v>
                </c:pt>
                <c:pt idx="132">
                  <c:v>2.2249595143146381E-2</c:v>
                </c:pt>
                <c:pt idx="133">
                  <c:v>2.2249595143146381E-2</c:v>
                </c:pt>
                <c:pt idx="134">
                  <c:v>2.2249595143146381E-2</c:v>
                </c:pt>
                <c:pt idx="135">
                  <c:v>2.2249595143146381E-2</c:v>
                </c:pt>
                <c:pt idx="136">
                  <c:v>2.2249595143146381E-2</c:v>
                </c:pt>
                <c:pt idx="137">
                  <c:v>2.2249595143146381E-2</c:v>
                </c:pt>
                <c:pt idx="138">
                  <c:v>2.2249595143146381E-2</c:v>
                </c:pt>
                <c:pt idx="139">
                  <c:v>2.2249595143146381E-2</c:v>
                </c:pt>
                <c:pt idx="140">
                  <c:v>2.2249595143146381E-2</c:v>
                </c:pt>
                <c:pt idx="141">
                  <c:v>2.2249595143146381E-2</c:v>
                </c:pt>
                <c:pt idx="142">
                  <c:v>2.2249595143146381E-2</c:v>
                </c:pt>
                <c:pt idx="143">
                  <c:v>2.2249595143146381E-2</c:v>
                </c:pt>
                <c:pt idx="144">
                  <c:v>2.2249595143146381E-2</c:v>
                </c:pt>
                <c:pt idx="145">
                  <c:v>2.2249595143146381E-2</c:v>
                </c:pt>
                <c:pt idx="146">
                  <c:v>2.2249595143146381E-2</c:v>
                </c:pt>
                <c:pt idx="147">
                  <c:v>2.2249595143146381E-2</c:v>
                </c:pt>
                <c:pt idx="148">
                  <c:v>2.2249595143146381E-2</c:v>
                </c:pt>
                <c:pt idx="149">
                  <c:v>2.2249595143146381E-2</c:v>
                </c:pt>
                <c:pt idx="150">
                  <c:v>2.2249595143146381E-2</c:v>
                </c:pt>
                <c:pt idx="151">
                  <c:v>2.2249595143146381E-2</c:v>
                </c:pt>
                <c:pt idx="152">
                  <c:v>2.2249595143146381E-2</c:v>
                </c:pt>
                <c:pt idx="153">
                  <c:v>2.2249595143146381E-2</c:v>
                </c:pt>
                <c:pt idx="154">
                  <c:v>2.2249595143146381E-2</c:v>
                </c:pt>
                <c:pt idx="155">
                  <c:v>2.2249595143146381E-2</c:v>
                </c:pt>
                <c:pt idx="156">
                  <c:v>2.2249595143146381E-2</c:v>
                </c:pt>
                <c:pt idx="157">
                  <c:v>2.2249595143146381E-2</c:v>
                </c:pt>
                <c:pt idx="158">
                  <c:v>2.2249595143146381E-2</c:v>
                </c:pt>
              </c:numCache>
            </c:numRef>
          </c:yVal>
          <c:smooth val="1"/>
        </c:ser>
        <c:ser>
          <c:idx val="3"/>
          <c:order val="3"/>
          <c:tx>
            <c:v>SC-Bend_EXP</c:v>
          </c:tx>
          <c:marker>
            <c:symbol val="none"/>
          </c:marker>
          <c:xVal>
            <c:numRef>
              <c:f>Saddle_Zick!$A$12:$A$170</c:f>
              <c:numCache>
                <c:formatCode>General</c:formatCode>
                <c:ptCount val="159"/>
                <c:pt idx="0">
                  <c:v>120</c:v>
                </c:pt>
                <c:pt idx="1">
                  <c:v>121</c:v>
                </c:pt>
                <c:pt idx="2">
                  <c:v>122</c:v>
                </c:pt>
                <c:pt idx="3">
                  <c:v>123</c:v>
                </c:pt>
                <c:pt idx="4">
                  <c:v>124</c:v>
                </c:pt>
                <c:pt idx="5">
                  <c:v>125</c:v>
                </c:pt>
                <c:pt idx="6">
                  <c:v>126</c:v>
                </c:pt>
                <c:pt idx="7">
                  <c:v>127</c:v>
                </c:pt>
                <c:pt idx="8">
                  <c:v>128</c:v>
                </c:pt>
                <c:pt idx="9">
                  <c:v>129</c:v>
                </c:pt>
                <c:pt idx="10">
                  <c:v>130</c:v>
                </c:pt>
                <c:pt idx="11">
                  <c:v>131</c:v>
                </c:pt>
                <c:pt idx="12">
                  <c:v>132</c:v>
                </c:pt>
                <c:pt idx="13">
                  <c:v>133</c:v>
                </c:pt>
                <c:pt idx="14">
                  <c:v>134</c:v>
                </c:pt>
                <c:pt idx="15">
                  <c:v>135</c:v>
                </c:pt>
                <c:pt idx="16">
                  <c:v>136</c:v>
                </c:pt>
                <c:pt idx="17">
                  <c:v>137</c:v>
                </c:pt>
                <c:pt idx="18">
                  <c:v>138</c:v>
                </c:pt>
                <c:pt idx="19">
                  <c:v>139</c:v>
                </c:pt>
                <c:pt idx="20">
                  <c:v>140</c:v>
                </c:pt>
                <c:pt idx="21">
                  <c:v>141</c:v>
                </c:pt>
                <c:pt idx="22">
                  <c:v>142</c:v>
                </c:pt>
                <c:pt idx="23">
                  <c:v>143</c:v>
                </c:pt>
                <c:pt idx="24">
                  <c:v>144</c:v>
                </c:pt>
                <c:pt idx="25">
                  <c:v>145</c:v>
                </c:pt>
                <c:pt idx="26">
                  <c:v>146</c:v>
                </c:pt>
                <c:pt idx="27">
                  <c:v>147</c:v>
                </c:pt>
                <c:pt idx="28">
                  <c:v>148</c:v>
                </c:pt>
                <c:pt idx="29">
                  <c:v>149</c:v>
                </c:pt>
                <c:pt idx="30">
                  <c:v>150</c:v>
                </c:pt>
                <c:pt idx="31">
                  <c:v>151</c:v>
                </c:pt>
                <c:pt idx="32">
                  <c:v>152</c:v>
                </c:pt>
                <c:pt idx="33">
                  <c:v>153</c:v>
                </c:pt>
                <c:pt idx="34">
                  <c:v>154</c:v>
                </c:pt>
                <c:pt idx="35">
                  <c:v>155</c:v>
                </c:pt>
                <c:pt idx="36">
                  <c:v>156</c:v>
                </c:pt>
                <c:pt idx="37">
                  <c:v>157</c:v>
                </c:pt>
                <c:pt idx="38">
                  <c:v>158</c:v>
                </c:pt>
                <c:pt idx="39">
                  <c:v>159</c:v>
                </c:pt>
                <c:pt idx="40">
                  <c:v>160</c:v>
                </c:pt>
                <c:pt idx="41">
                  <c:v>161</c:v>
                </c:pt>
                <c:pt idx="42">
                  <c:v>162</c:v>
                </c:pt>
                <c:pt idx="43">
                  <c:v>163</c:v>
                </c:pt>
                <c:pt idx="44">
                  <c:v>164</c:v>
                </c:pt>
                <c:pt idx="45">
                  <c:v>165</c:v>
                </c:pt>
                <c:pt idx="46">
                  <c:v>166</c:v>
                </c:pt>
                <c:pt idx="47">
                  <c:v>167</c:v>
                </c:pt>
                <c:pt idx="48">
                  <c:v>168</c:v>
                </c:pt>
                <c:pt idx="49">
                  <c:v>169</c:v>
                </c:pt>
                <c:pt idx="50">
                  <c:v>170</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numCache>
            </c:numRef>
          </c:xVal>
          <c:yVal>
            <c:numRef>
              <c:f>Saddle_Zick!$K$12:$K$170</c:f>
              <c:numCache>
                <c:formatCode>0.00</c:formatCode>
                <c:ptCount val="159"/>
                <c:pt idx="0">
                  <c:v>3.4400675668586933</c:v>
                </c:pt>
                <c:pt idx="1">
                  <c:v>3.3857211213408438</c:v>
                </c:pt>
                <c:pt idx="2">
                  <c:v>3.3319910636334407</c:v>
                </c:pt>
                <c:pt idx="3">
                  <c:v>3.2788734162775772</c:v>
                </c:pt>
                <c:pt idx="4">
                  <c:v>3.2263642012371032</c:v>
                </c:pt>
                <c:pt idx="5">
                  <c:v>3.1744594400990196</c:v>
                </c:pt>
                <c:pt idx="6">
                  <c:v>3.1231551542717852</c:v>
                </c:pt>
                <c:pt idx="7">
                  <c:v>3.072447365181425</c:v>
                </c:pt>
                <c:pt idx="8">
                  <c:v>3.0223320944656287</c:v>
                </c:pt>
                <c:pt idx="9">
                  <c:v>2.9728053641660352</c:v>
                </c:pt>
                <c:pt idx="10">
                  <c:v>2.9238631969184126</c:v>
                </c:pt>
                <c:pt idx="11">
                  <c:v>2.8755016161412903</c:v>
                </c:pt>
                <c:pt idx="12">
                  <c:v>2.8277166462226972</c:v>
                </c:pt>
                <c:pt idx="13">
                  <c:v>2.7805043127052986</c:v>
                </c:pt>
                <c:pt idx="14">
                  <c:v>2.7338606424700291</c:v>
                </c:pt>
                <c:pt idx="15">
                  <c:v>2.6877816639179821</c:v>
                </c:pt>
                <c:pt idx="16">
                  <c:v>2.6422634071511202</c:v>
                </c:pt>
                <c:pt idx="17">
                  <c:v>2.5973019041512693</c:v>
                </c:pt>
                <c:pt idx="18">
                  <c:v>2.552893188958127</c:v>
                </c:pt>
                <c:pt idx="19">
                  <c:v>2.509033297845634</c:v>
                </c:pt>
                <c:pt idx="20">
                  <c:v>2.4657182694973421</c:v>
                </c:pt>
                <c:pt idx="21">
                  <c:v>2.4229441451805003</c:v>
                </c:pt>
                <c:pt idx="22">
                  <c:v>2.3807069689190783</c:v>
                </c:pt>
                <c:pt idx="23">
                  <c:v>2.3390027876656143</c:v>
                </c:pt>
                <c:pt idx="24">
                  <c:v>2.2978276514721196</c:v>
                </c:pt>
                <c:pt idx="25">
                  <c:v>2.2571776136599908</c:v>
                </c:pt>
                <c:pt idx="26">
                  <c:v>2.2170487309888554</c:v>
                </c:pt>
                <c:pt idx="27">
                  <c:v>2.177437063824716</c:v>
                </c:pt>
                <c:pt idx="28">
                  <c:v>2.1383386763070686</c:v>
                </c:pt>
                <c:pt idx="29">
                  <c:v>2.0997496365153197</c:v>
                </c:pt>
                <c:pt idx="30">
                  <c:v>2.0616660166343261</c:v>
                </c:pt>
                <c:pt idx="31">
                  <c:v>2.0240838931191556</c:v>
                </c:pt>
                <c:pt idx="32">
                  <c:v>1.9869993468594558</c:v>
                </c:pt>
                <c:pt idx="33">
                  <c:v>1.9504084633426142</c:v>
                </c:pt>
                <c:pt idx="34">
                  <c:v>1.9143073328167908</c:v>
                </c:pt>
                <c:pt idx="35">
                  <c:v>1.87869205045301</c:v>
                </c:pt>
                <c:pt idx="36">
                  <c:v>1.8435587165067959</c:v>
                </c:pt>
                <c:pt idx="37">
                  <c:v>1.8089034364792302</c:v>
                </c:pt>
                <c:pt idx="38">
                  <c:v>1.7747223212776073</c:v>
                </c:pt>
                <c:pt idx="39">
                  <c:v>1.7410114873752791</c:v>
                </c:pt>
                <c:pt idx="40">
                  <c:v>1.707767056971389</c:v>
                </c:pt>
                <c:pt idx="41">
                  <c:v>1.6749851581499469</c:v>
                </c:pt>
                <c:pt idx="42">
                  <c:v>1.6426619250384449</c:v>
                </c:pt>
                <c:pt idx="43">
                  <c:v>1.6107934979663383</c:v>
                </c:pt>
                <c:pt idx="44">
                  <c:v>1.5793760236227625</c:v>
                </c:pt>
                <c:pt idx="45">
                  <c:v>1.5484056552142045</c:v>
                </c:pt>
                <c:pt idx="46">
                  <c:v>1.5178785526216436</c:v>
                </c:pt>
                <c:pt idx="47">
                  <c:v>1.4877908825574302</c:v>
                </c:pt>
                <c:pt idx="48">
                  <c:v>1.4581388187219333</c:v>
                </c:pt>
                <c:pt idx="49">
                  <c:v>1.4289185419597124</c:v>
                </c:pt>
                <c:pt idx="50">
                  <c:v>1.4001262404155475</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numCache>
            </c:numRef>
          </c:yVal>
          <c:smooth val="1"/>
        </c:ser>
        <c:dLbls>
          <c:showLegendKey val="0"/>
          <c:showVal val="0"/>
          <c:showCatName val="0"/>
          <c:showSerName val="0"/>
          <c:showPercent val="0"/>
          <c:showBubbleSize val="0"/>
        </c:dLbls>
        <c:axId val="281892176"/>
        <c:axId val="281895704"/>
      </c:scatterChart>
      <c:valAx>
        <c:axId val="281892176"/>
        <c:scaling>
          <c:orientation val="minMax"/>
        </c:scaling>
        <c:delete val="0"/>
        <c:axPos val="b"/>
        <c:title>
          <c:tx>
            <c:rich>
              <a:bodyPr/>
              <a:lstStyle/>
              <a:p>
                <a:pPr>
                  <a:defRPr/>
                </a:pPr>
                <a:r>
                  <a:rPr lang="en-US"/>
                  <a:t>Saddle Angle (deg)</a:t>
                </a:r>
              </a:p>
            </c:rich>
          </c:tx>
          <c:layout/>
          <c:overlay val="0"/>
        </c:title>
        <c:numFmt formatCode="General" sourceLinked="1"/>
        <c:majorTickMark val="out"/>
        <c:minorTickMark val="none"/>
        <c:tickLblPos val="nextTo"/>
        <c:crossAx val="281895704"/>
        <c:crosses val="autoZero"/>
        <c:crossBetween val="midCat"/>
      </c:valAx>
      <c:valAx>
        <c:axId val="281895704"/>
        <c:scaling>
          <c:orientation val="minMax"/>
        </c:scaling>
        <c:delete val="0"/>
        <c:axPos val="l"/>
        <c:majorGridlines>
          <c:spPr>
            <a:ln>
              <a:noFill/>
            </a:ln>
          </c:spPr>
        </c:majorGridlines>
        <c:title>
          <c:tx>
            <c:rich>
              <a:bodyPr rot="-5400000" vert="horz"/>
              <a:lstStyle/>
              <a:p>
                <a:pPr>
                  <a:defRPr/>
                </a:pPr>
                <a:r>
                  <a:rPr lang="en-US"/>
                  <a:t>Max. Local Stress (MPa)</a:t>
                </a:r>
              </a:p>
            </c:rich>
          </c:tx>
          <c:layout/>
          <c:overlay val="0"/>
        </c:title>
        <c:numFmt formatCode="0.00" sourceLinked="1"/>
        <c:majorTickMark val="out"/>
        <c:minorTickMark val="none"/>
        <c:tickLblPos val="nextTo"/>
        <c:crossAx val="2818921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79787494676046E-2"/>
          <c:y val="5.6551448455556458E-2"/>
          <c:w val="0.7031835594202025"/>
          <c:h val="0.770810369102225"/>
        </c:manualLayout>
      </c:layout>
      <c:scatterChart>
        <c:scatterStyle val="smoothMarker"/>
        <c:varyColors val="0"/>
        <c:ser>
          <c:idx val="0"/>
          <c:order val="0"/>
          <c:tx>
            <c:v>Circumferential Stress_SUS</c:v>
          </c:tx>
          <c:marker>
            <c:symbol val="none"/>
          </c:marker>
          <c:xVal>
            <c:numRef>
              <c:f>Saddle_Zick!$L$12:$L$170</c:f>
              <c:numCache>
                <c:formatCode>General</c:formatCode>
                <c:ptCount val="15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numCache>
            </c:numRef>
          </c:xVal>
          <c:yVal>
            <c:numRef>
              <c:f>Saddle_Zick!$O$12:$O$170</c:f>
              <c:numCache>
                <c:formatCode>General</c:formatCode>
                <c:ptCount val="15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numCache>
            </c:numRef>
          </c:yVal>
          <c:smooth val="1"/>
        </c:ser>
        <c:ser>
          <c:idx val="1"/>
          <c:order val="1"/>
          <c:tx>
            <c:v>Circumferential Stress_EXP</c:v>
          </c:tx>
          <c:marker>
            <c:symbol val="none"/>
          </c:marker>
          <c:xVal>
            <c:numRef>
              <c:f>Saddle_Zick!$L$12:$L$170</c:f>
              <c:numCache>
                <c:formatCode>General</c:formatCode>
                <c:ptCount val="15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numCache>
            </c:numRef>
          </c:xVal>
          <c:yVal>
            <c:numRef>
              <c:f>Saddle_Zick!$Q$12:$Q$170</c:f>
              <c:numCache>
                <c:formatCode>General</c:formatCode>
                <c:ptCount val="159"/>
                <c:pt idx="0">
                  <c:v>1.2664881356975792</c:v>
                </c:pt>
                <c:pt idx="1">
                  <c:v>1.2654612184614455</c:v>
                </c:pt>
                <c:pt idx="2">
                  <c:v>1.2623817407409643</c:v>
                </c:pt>
                <c:pt idx="3">
                  <c:v>1.2572535238190454</c:v>
                </c:pt>
                <c:pt idx="4">
                  <c:v>1.250082934231312</c:v>
                </c:pt>
                <c:pt idx="5">
                  <c:v>1.2408788803633388</c:v>
                </c:pt>
                <c:pt idx="6">
                  <c:v>1.2296528076888062</c:v>
                </c:pt>
                <c:pt idx="7">
                  <c:v>1.2164186926507241</c:v>
                </c:pt>
                <c:pt idx="8">
                  <c:v>1.2011930351883444</c:v>
                </c:pt>
                <c:pt idx="9">
                  <c:v>1.1839948499130379</c:v>
                </c:pt>
                <c:pt idx="10">
                  <c:v>1.1648456559369611</c:v>
                </c:pt>
                <c:pt idx="11">
                  <c:v>1.1437694653589616</c:v>
                </c:pt>
                <c:pt idx="12">
                  <c:v>1.1207927704127594</c:v>
                </c:pt>
                <c:pt idx="13">
                  <c:v>1.0959445292829402</c:v>
                </c:pt>
                <c:pt idx="14">
                  <c:v>1.0692561505950182</c:v>
                </c:pt>
                <c:pt idx="15">
                  <c:v>1.0407614765862898</c:v>
                </c:pt>
                <c:pt idx="16">
                  <c:v>1.0104967649648211</c:v>
                </c:pt>
                <c:pt idx="17">
                  <c:v>0.97850066946448599</c:v>
                </c:pt>
                <c:pt idx="18">
                  <c:v>0.944814219104535</c:v>
                </c:pt>
                <c:pt idx="19">
                  <c:v>0.90948079616275201</c:v>
                </c:pt>
                <c:pt idx="20">
                  <c:v>0.87254611287178541</c:v>
                </c:pt>
                <c:pt idx="21">
                  <c:v>0.83405818684887267</c:v>
                </c:pt>
                <c:pt idx="22">
                  <c:v>0.79406731526961305</c:v>
                </c:pt>
                <c:pt idx="23">
                  <c:v>0.75262604779716047</c:v>
                </c:pt>
                <c:pt idx="24">
                  <c:v>0.70978915827857592</c:v>
                </c:pt>
                <c:pt idx="25">
                  <c:v>0.6656136152207387</c:v>
                </c:pt>
                <c:pt idx="26">
                  <c:v>0.62015855105876205</c:v>
                </c:pt>
                <c:pt idx="27">
                  <c:v>0.57348523023027298</c:v>
                </c:pt>
                <c:pt idx="28">
                  <c:v>0.5256570160695716</c:v>
                </c:pt>
                <c:pt idx="29">
                  <c:v>0.47673933653614115</c:v>
                </c:pt>
                <c:pt idx="30">
                  <c:v>0.42679964879251198</c:v>
                </c:pt>
                <c:pt idx="31">
                  <c:v>0.37590740264697142</c:v>
                </c:pt>
                <c:pt idx="32">
                  <c:v>0.32413400287715793</c:v>
                </c:pt>
                <c:pt idx="33">
                  <c:v>0.27155277045102449</c:v>
                </c:pt>
                <c:pt idx="34">
                  <c:v>0.2182389026621934</c:v>
                </c:pt>
                <c:pt idx="35">
                  <c:v>0.16426943219715723</c:v>
                </c:pt>
                <c:pt idx="36">
                  <c:v>0.10972318515231493</c:v>
                </c:pt>
                <c:pt idx="37">
                  <c:v>5.4680738019257109E-2</c:v>
                </c:pt>
                <c:pt idx="38">
                  <c:v>7.7562634281176722E-4</c:v>
                </c:pt>
                <c:pt idx="39">
                  <c:v>5.6561963728157014E-2</c:v>
                </c:pt>
                <c:pt idx="40">
                  <c:v>0.11259271457931318</c:v>
                </c:pt>
                <c:pt idx="41">
                  <c:v>0.16878075093538117</c:v>
                </c:pt>
                <c:pt idx="42">
                  <c:v>0.22503742431313586</c:v>
                </c:pt>
                <c:pt idx="43">
                  <c:v>0.28127261449987401</c:v>
                </c:pt>
                <c:pt idx="44">
                  <c:v>0.33739477923651717</c:v>
                </c:pt>
                <c:pt idx="45">
                  <c:v>0.39331100476900716</c:v>
                </c:pt>
                <c:pt idx="46">
                  <c:v>0.44892705724577847</c:v>
                </c:pt>
                <c:pt idx="47">
                  <c:v>0.50414743493853709</c:v>
                </c:pt>
                <c:pt idx="48">
                  <c:v>0.55887542126329715</c:v>
                </c:pt>
                <c:pt idx="49">
                  <c:v>0.61301313857828132</c:v>
                </c:pt>
                <c:pt idx="50">
                  <c:v>0.66646160273482968</c:v>
                </c:pt>
                <c:pt idx="51">
                  <c:v>0.7191207783571546</c:v>
                </c:pt>
                <c:pt idx="52">
                  <c:v>0.77088963482653261</c:v>
                </c:pt>
                <c:pt idx="53">
                  <c:v>0.82166620294501325</c:v>
                </c:pt>
                <c:pt idx="54">
                  <c:v>0.87134763225354717</c:v>
                </c:pt>
                <c:pt idx="55">
                  <c:v>0.91983024897907362</c:v>
                </c:pt>
                <c:pt idx="56">
                  <c:v>0.96700961458478973</c:v>
                </c:pt>
                <c:pt idx="57">
                  <c:v>1.012780584897593</c:v>
                </c:pt>
                <c:pt idx="58">
                  <c:v>1.0570373697862891</c:v>
                </c:pt>
                <c:pt idx="59">
                  <c:v>1.0996735933640469</c:v>
                </c:pt>
                <c:pt idx="60">
                  <c:v>1.1405823546881919</c:v>
                </c:pt>
                <c:pt idx="61">
                  <c:v>1.1796562889302378</c:v>
                </c:pt>
                <c:pt idx="62">
                  <c:v>1.2167876289888286</c:v>
                </c:pt>
                <c:pt idx="63">
                  <c:v>1.2518682675179764</c:v>
                </c:pt>
                <c:pt idx="64">
                  <c:v>1.2847898193428413</c:v>
                </c:pt>
                <c:pt idx="65">
                  <c:v>1.3154436842350619</c:v>
                </c:pt>
                <c:pt idx="66">
                  <c:v>1.3437211100194186</c:v>
                </c:pt>
                <c:pt idx="67">
                  <c:v>1.3695132559834879</c:v>
                </c:pt>
                <c:pt idx="68">
                  <c:v>1.3927112565617163</c:v>
                </c:pt>
                <c:pt idx="69">
                  <c:v>1.413206285265282</c:v>
                </c:pt>
                <c:pt idx="70">
                  <c:v>1.4308896188288081</c:v>
                </c:pt>
                <c:pt idx="71">
                  <c:v>1.4456527015450096</c:v>
                </c:pt>
                <c:pt idx="72">
                  <c:v>1.4573872097581579</c:v>
                </c:pt>
                <c:pt idx="73">
                  <c:v>1.4659851164871189</c:v>
                </c:pt>
                <c:pt idx="74">
                  <c:v>1.471338756148673</c:v>
                </c:pt>
                <c:pt idx="75">
                  <c:v>1.4733408893517048</c:v>
                </c:pt>
                <c:pt idx="76">
                  <c:v>1.4718847677327711</c:v>
                </c:pt>
                <c:pt idx="77">
                  <c:v>1.4668641988034856</c:v>
                </c:pt>
                <c:pt idx="78">
                  <c:v>1.4581736107801668</c:v>
                </c:pt>
                <c:pt idx="79">
                  <c:v>1.4457081173660531</c:v>
                </c:pt>
                <c:pt idx="80">
                  <c:v>1.4293635824564284</c:v>
                </c:pt>
                <c:pt idx="81">
                  <c:v>1.4090366847370146</c:v>
                </c:pt>
                <c:pt idx="82">
                  <c:v>1.3846249821458538</c:v>
                </c:pt>
                <c:pt idx="83">
                  <c:v>1.3560269761690888</c:v>
                </c:pt>
                <c:pt idx="84">
                  <c:v>1.3231421759409081</c:v>
                </c:pt>
                <c:pt idx="85">
                  <c:v>1.2858711621180561</c:v>
                </c:pt>
                <c:pt idx="86">
                  <c:v>1.244115650499297</c:v>
                </c:pt>
                <c:pt idx="87">
                  <c:v>1.1977785553603415</c:v>
                </c:pt>
                <c:pt idx="88">
                  <c:v>1.1467640524746932</c:v>
                </c:pt>
                <c:pt idx="89">
                  <c:v>1.0909776417911419</c:v>
                </c:pt>
                <c:pt idx="90">
                  <c:v>1.0303262097384809</c:v>
                </c:pt>
                <c:pt idx="91">
                  <c:v>0.96471809112837403</c:v>
                </c:pt>
                <c:pt idx="92">
                  <c:v>0.89406313062722986</c:v>
                </c:pt>
                <c:pt idx="93">
                  <c:v>0.8182727437681504</c:v>
                </c:pt>
                <c:pt idx="94">
                  <c:v>0.7372599774741927</c:v>
                </c:pt>
                <c:pt idx="95">
                  <c:v>0.65093957006420977</c:v>
                </c:pt>
                <c:pt idx="96">
                  <c:v>0.55922801071287409</c:v>
                </c:pt>
                <c:pt idx="97">
                  <c:v>0.4620435983365016</c:v>
                </c:pt>
                <c:pt idx="98">
                  <c:v>0.35930649987657126</c:v>
                </c:pt>
                <c:pt idx="99">
                  <c:v>0.25093880795304913</c:v>
                </c:pt>
                <c:pt idx="100">
                  <c:v>0.13686459785972771</c:v>
                </c:pt>
                <c:pt idx="101">
                  <c:v>1.7009983874154377E-2</c:v>
                </c:pt>
                <c:pt idx="102">
                  <c:v>0.10869682514514439</c:v>
                </c:pt>
                <c:pt idx="103">
                  <c:v>0.24032547090115813</c:v>
                </c:pt>
                <c:pt idx="104">
                  <c:v>0.37794339156733103</c:v>
                </c:pt>
                <c:pt idx="105">
                  <c:v>0.52161576848950975</c:v>
                </c:pt>
                <c:pt idx="106">
                  <c:v>0.67140547370703307</c:v>
                </c:pt>
                <c:pt idx="107">
                  <c:v>0.82737301831892218</c:v>
                </c:pt>
                <c:pt idx="108">
                  <c:v>0.98957650172080758</c:v>
                </c:pt>
                <c:pt idx="109">
                  <c:v>1.1580715617378889</c:v>
                </c:pt>
                <c:pt idx="110">
                  <c:v>1.3329113256788916</c:v>
                </c:pt>
                <c:pt idx="111">
                  <c:v>1.514146362335727</c:v>
                </c:pt>
                <c:pt idx="112">
                  <c:v>1.7018246349531454</c:v>
                </c:pt>
                <c:pt idx="113">
                  <c:v>1.8959914551923245</c:v>
                </c:pt>
                <c:pt idx="114">
                  <c:v>2.0966894381120076</c:v>
                </c:pt>
                <c:pt idx="115">
                  <c:v>2.3039584581904169</c:v>
                </c:pt>
                <c:pt idx="116">
                  <c:v>2.5178356064107961</c:v>
                </c:pt>
                <c:pt idx="117">
                  <c:v>2.7383551484329258</c:v>
                </c:pt>
                <c:pt idx="118">
                  <c:v>2.9655484838728645</c:v>
                </c:pt>
                <c:pt idx="119">
                  <c:v>3.1994441067122503</c:v>
                </c:pt>
                <c:pt idx="120">
                  <c:v>3.4400675668586933</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numCache>
            </c:numRef>
          </c:yVal>
          <c:smooth val="1"/>
        </c:ser>
        <c:dLbls>
          <c:showLegendKey val="0"/>
          <c:showVal val="0"/>
          <c:showCatName val="0"/>
          <c:showSerName val="0"/>
          <c:showPercent val="0"/>
          <c:showBubbleSize val="0"/>
        </c:dLbls>
        <c:axId val="281892568"/>
        <c:axId val="281892960"/>
      </c:scatterChart>
      <c:valAx>
        <c:axId val="281892568"/>
        <c:scaling>
          <c:orientation val="minMax"/>
        </c:scaling>
        <c:delete val="0"/>
        <c:axPos val="b"/>
        <c:title>
          <c:tx>
            <c:rich>
              <a:bodyPr/>
              <a:lstStyle/>
              <a:p>
                <a:pPr>
                  <a:defRPr/>
                </a:pPr>
                <a:r>
                  <a:rPr lang="en-US"/>
                  <a:t>Beta</a:t>
                </a:r>
                <a:r>
                  <a:rPr lang="en-US" baseline="0"/>
                  <a:t> Angle (deg)</a:t>
                </a:r>
                <a:endParaRPr lang="en-US"/>
              </a:p>
            </c:rich>
          </c:tx>
          <c:layout>
            <c:manualLayout>
              <c:xMode val="edge"/>
              <c:yMode val="edge"/>
              <c:x val="0.36586073631641941"/>
              <c:y val="0.9029372008071832"/>
            </c:manualLayout>
          </c:layout>
          <c:overlay val="0"/>
        </c:title>
        <c:numFmt formatCode="General" sourceLinked="1"/>
        <c:majorTickMark val="out"/>
        <c:minorTickMark val="none"/>
        <c:tickLblPos val="nextTo"/>
        <c:crossAx val="281892960"/>
        <c:crosses val="autoZero"/>
        <c:crossBetween val="midCat"/>
      </c:valAx>
      <c:valAx>
        <c:axId val="281892960"/>
        <c:scaling>
          <c:orientation val="minMax"/>
        </c:scaling>
        <c:delete val="0"/>
        <c:axPos val="l"/>
        <c:majorGridlines>
          <c:spPr>
            <a:ln>
              <a:noFill/>
            </a:ln>
          </c:spPr>
        </c:majorGridlines>
        <c:title>
          <c:tx>
            <c:rich>
              <a:bodyPr rot="-5400000" vert="horz"/>
              <a:lstStyle/>
              <a:p>
                <a:pPr>
                  <a:defRPr/>
                </a:pPr>
                <a:r>
                  <a:rPr lang="en-US"/>
                  <a:t>Local Circumferential Bending Stress</a:t>
                </a:r>
                <a:r>
                  <a:rPr lang="en-US" baseline="0"/>
                  <a:t> (MPa)</a:t>
                </a:r>
                <a:endParaRPr lang="en-US"/>
              </a:p>
            </c:rich>
          </c:tx>
          <c:layout/>
          <c:overlay val="0"/>
        </c:title>
        <c:numFmt formatCode="General" sourceLinked="1"/>
        <c:majorTickMark val="out"/>
        <c:minorTickMark val="none"/>
        <c:tickLblPos val="nextTo"/>
        <c:crossAx val="281892568"/>
        <c:crosses val="autoZero"/>
        <c:crossBetween val="midCat"/>
      </c:valAx>
    </c:plotArea>
    <c:legend>
      <c:legendPos val="r"/>
      <c:layout>
        <c:manualLayout>
          <c:xMode val="edge"/>
          <c:yMode val="edge"/>
          <c:x val="0.78998640589094815"/>
          <c:y val="0.1908954763451185"/>
          <c:w val="0.19405747719971408"/>
          <c:h val="0.40968746122195865"/>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224402983778948E-2"/>
          <c:y val="4.4843557042262706E-2"/>
          <c:w val="0.67759403655759642"/>
          <c:h val="0.80529776176578061"/>
        </c:manualLayout>
      </c:layout>
      <c:scatterChart>
        <c:scatterStyle val="smoothMarker"/>
        <c:varyColors val="0"/>
        <c:ser>
          <c:idx val="0"/>
          <c:order val="0"/>
          <c:tx>
            <c:v>Circumferential Moment_SUS</c:v>
          </c:tx>
          <c:marker>
            <c:symbol val="none"/>
          </c:marker>
          <c:xVal>
            <c:numRef>
              <c:f>'Bare Pipe_Roark'!$A$193:$A$373</c:f>
              <c:numCache>
                <c:formatCode>General</c:formatCode>
                <c:ptCount val="1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numCache>
            </c:numRef>
          </c:xVal>
          <c:yVal>
            <c:numRef>
              <c:f>'Bare Pipe_Roark'!$C$193:$C$373</c:f>
              <c:numCache>
                <c:formatCode>General</c:formatCode>
                <c:ptCount val="18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numCache>
            </c:numRef>
          </c:yVal>
          <c:smooth val="1"/>
        </c:ser>
        <c:ser>
          <c:idx val="1"/>
          <c:order val="1"/>
          <c:tx>
            <c:v>Circumferential Moment_EXP</c:v>
          </c:tx>
          <c:marker>
            <c:symbol val="none"/>
          </c:marker>
          <c:xVal>
            <c:numRef>
              <c:f>'Bare Pipe_Roark'!$A$193:$A$373</c:f>
              <c:numCache>
                <c:formatCode>General</c:formatCode>
                <c:ptCount val="1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numCache>
            </c:numRef>
          </c:xVal>
          <c:yVal>
            <c:numRef>
              <c:f>'Bare Pipe_Roark'!$G$193:$G$373</c:f>
              <c:numCache>
                <c:formatCode>General</c:formatCode>
                <c:ptCount val="181"/>
                <c:pt idx="0">
                  <c:v>121.31040000000002</c:v>
                </c:pt>
                <c:pt idx="1">
                  <c:v>121.2551590810971</c:v>
                </c:pt>
                <c:pt idx="2">
                  <c:v>121.08947565643579</c:v>
                </c:pt>
                <c:pt idx="3">
                  <c:v>120.81346770332225</c:v>
                </c:pt>
                <c:pt idx="4">
                  <c:v>120.42733178782045</c:v>
                </c:pt>
                <c:pt idx="5">
                  <c:v>119.93134297061043</c:v>
                </c:pt>
                <c:pt idx="6">
                  <c:v>119.32585467524436</c:v>
                </c:pt>
                <c:pt idx="7">
                  <c:v>118.61129851885541</c:v>
                </c:pt>
                <c:pt idx="8">
                  <c:v>117.78818410538969</c:v>
                </c:pt>
                <c:pt idx="9">
                  <c:v>116.85709878144725</c:v>
                </c:pt>
                <c:pt idx="10">
                  <c:v>115.81870735483355</c:v>
                </c:pt>
                <c:pt idx="11">
                  <c:v>114.67375177593823</c:v>
                </c:pt>
                <c:pt idx="12">
                  <c:v>113.42305078207393</c:v>
                </c:pt>
                <c:pt idx="13">
                  <c:v>112.06749950492274</c:v>
                </c:pt>
                <c:pt idx="14">
                  <c:v>110.60806904125343</c:v>
                </c:pt>
                <c:pt idx="15">
                  <c:v>109.04580598708816</c:v>
                </c:pt>
                <c:pt idx="16">
                  <c:v>107.38183193551215</c:v>
                </c:pt>
                <c:pt idx="17">
                  <c:v>105.61734293833526</c:v>
                </c:pt>
                <c:pt idx="18">
                  <c:v>103.75360893182926</c:v>
                </c:pt>
                <c:pt idx="19">
                  <c:v>101.79197312677987</c:v>
                </c:pt>
                <c:pt idx="20">
                  <c:v>99.733851363107107</c:v>
                </c:pt>
                <c:pt idx="21">
                  <c:v>97.580731429322555</c:v>
                </c:pt>
                <c:pt idx="22">
                  <c:v>95.3341723471069</c:v>
                </c:pt>
                <c:pt idx="23">
                  <c:v>92.99580362130537</c:v>
                </c:pt>
                <c:pt idx="24">
                  <c:v>90.567324455653434</c:v>
                </c:pt>
                <c:pt idx="25">
                  <c:v>88.050502934559304</c:v>
                </c:pt>
                <c:pt idx="26">
                  <c:v>85.44717517128413</c:v>
                </c:pt>
                <c:pt idx="27">
                  <c:v>82.759244422874687</c:v>
                </c:pt>
                <c:pt idx="28">
                  <c:v>79.988680172217457</c:v>
                </c:pt>
                <c:pt idx="29">
                  <c:v>77.13751717759672</c:v>
                </c:pt>
                <c:pt idx="30">
                  <c:v>74.207854490152783</c:v>
                </c:pt>
                <c:pt idx="31">
                  <c:v>71.201854439650504</c:v>
                </c:pt>
                <c:pt idx="32">
                  <c:v>68.121741588980896</c:v>
                </c:pt>
                <c:pt idx="33">
                  <c:v>64.969801657832178</c:v>
                </c:pt>
                <c:pt idx="34">
                  <c:v>61.748380415979703</c:v>
                </c:pt>
                <c:pt idx="35">
                  <c:v>58.459882546656793</c:v>
                </c:pt>
                <c:pt idx="36">
                  <c:v>55.106770480481316</c:v>
                </c:pt>
                <c:pt idx="37">
                  <c:v>51.691563200425406</c:v>
                </c:pt>
                <c:pt idx="38">
                  <c:v>48.216835018327487</c:v>
                </c:pt>
                <c:pt idx="39">
                  <c:v>44.685214323458752</c:v>
                </c:pt>
                <c:pt idx="40">
                  <c:v>41.099382303667397</c:v>
                </c:pt>
                <c:pt idx="41">
                  <c:v>37.462071639635582</c:v>
                </c:pt>
                <c:pt idx="42">
                  <c:v>33.776065172796336</c:v>
                </c:pt>
                <c:pt idx="43">
                  <c:v>30.044194547468038</c:v>
                </c:pt>
                <c:pt idx="44">
                  <c:v>26.26933882777541</c:v>
                </c:pt>
                <c:pt idx="45">
                  <c:v>22.454423089937315</c:v>
                </c:pt>
                <c:pt idx="46">
                  <c:v>18.602416990511351</c:v>
                </c:pt>
                <c:pt idx="47">
                  <c:v>14.716333311196363</c:v>
                </c:pt>
                <c:pt idx="48">
                  <c:v>10.799226480803901</c:v>
                </c:pt>
                <c:pt idx="49">
                  <c:v>6.854191075019072</c:v>
                </c:pt>
                <c:pt idx="50">
                  <c:v>2.8843602945820841</c:v>
                </c:pt>
                <c:pt idx="51">
                  <c:v>-1.1070955774700124</c:v>
                </c:pt>
                <c:pt idx="52">
                  <c:v>-5.1169707388526842</c:v>
                </c:pt>
                <c:pt idx="53">
                  <c:v>-9.1420254507146428</c:v>
                </c:pt>
                <c:pt idx="54">
                  <c:v>-13.178987639285639</c:v>
                </c:pt>
                <c:pt idx="55">
                  <c:v>-17.224554515813782</c:v>
                </c:pt>
                <c:pt idx="56">
                  <c:v>-21.275394214110712</c:v>
                </c:pt>
                <c:pt idx="57">
                  <c:v>-25.328147445012764</c:v>
                </c:pt>
                <c:pt idx="58">
                  <c:v>-29.379429167059634</c:v>
                </c:pt>
                <c:pt idx="59">
                  <c:v>-33.425830272683811</c:v>
                </c:pt>
                <c:pt idx="60">
                  <c:v>-37.463919289198898</c:v>
                </c:pt>
                <c:pt idx="61">
                  <c:v>-41.490244093865066</c:v>
                </c:pt>
                <c:pt idx="62">
                  <c:v>-45.501333642307166</c:v>
                </c:pt>
                <c:pt idx="63">
                  <c:v>-49.49369970955108</c:v>
                </c:pt>
                <c:pt idx="64">
                  <c:v>-53.4638386429409</c:v>
                </c:pt>
                <c:pt idx="65">
                  <c:v>-57.408233126191817</c:v>
                </c:pt>
                <c:pt idx="66">
                  <c:v>-61.323353953830235</c:v>
                </c:pt>
                <c:pt idx="67">
                  <c:v>-65.205661815265131</c:v>
                </c:pt>
                <c:pt idx="68">
                  <c:v>-69.051609087732032</c:v>
                </c:pt>
                <c:pt idx="69">
                  <c:v>-72.857641637345495</c:v>
                </c:pt>
                <c:pt idx="70">
                  <c:v>-76.620200627492636</c:v>
                </c:pt>
                <c:pt idx="71">
                  <c:v>-80.335724333794346</c:v>
                </c:pt>
                <c:pt idx="72">
                  <c:v>-84.00064996486006</c:v>
                </c:pt>
                <c:pt idx="73">
                  <c:v>-87.611415488056934</c:v>
                </c:pt>
                <c:pt idx="74">
                  <c:v>-91.16446145951133</c:v>
                </c:pt>
                <c:pt idx="75">
                  <c:v>-94.656232857558564</c:v>
                </c:pt>
                <c:pt idx="76">
                  <c:v>-98.083180918854652</c:v>
                </c:pt>
                <c:pt idx="77">
                  <c:v>-101.44176497636016</c:v>
                </c:pt>
                <c:pt idx="78">
                  <c:v>-104.72845429840666</c:v>
                </c:pt>
                <c:pt idx="79">
                  <c:v>-107.93972992805421</c:v>
                </c:pt>
                <c:pt idx="80">
                  <c:v>-111.0720865219451</c:v>
                </c:pt>
                <c:pt idx="81">
                  <c:v>-114.12203418786291</c:v>
                </c:pt>
                <c:pt idx="82">
                  <c:v>-117.08610032019955</c:v>
                </c:pt>
                <c:pt idx="83">
                  <c:v>-119.96083143253907</c:v>
                </c:pt>
                <c:pt idx="84">
                  <c:v>-122.74279498656051</c:v>
                </c:pt>
                <c:pt idx="85">
                  <c:v>-125.42858121646954</c:v>
                </c:pt>
                <c:pt idx="86">
                  <c:v>-128.01480494816357</c:v>
                </c:pt>
                <c:pt idx="87">
                  <c:v>-130.49810741233915</c:v>
                </c:pt>
                <c:pt idx="88">
                  <c:v>-132.87515805075077</c:v>
                </c:pt>
                <c:pt idx="89">
                  <c:v>-135.14265631483391</c:v>
                </c:pt>
                <c:pt idx="90">
                  <c:v>-137.29733345590296</c:v>
                </c:pt>
                <c:pt idx="91">
                  <c:v>-139.33595430614224</c:v>
                </c:pt>
                <c:pt idx="92">
                  <c:v>-141.25531904960616</c:v>
                </c:pt>
                <c:pt idx="93">
                  <c:v>-143.05226498245213</c:v>
                </c:pt>
                <c:pt idx="94">
                  <c:v>-144.7236682616284</c:v>
                </c:pt>
                <c:pt idx="95">
                  <c:v>-146.26644564124655</c:v>
                </c:pt>
                <c:pt idx="96">
                  <c:v>-147.67755619586978</c:v>
                </c:pt>
                <c:pt idx="97">
                  <c:v>-148.95400302995429</c:v>
                </c:pt>
                <c:pt idx="98">
                  <c:v>-150.09283497268297</c:v>
                </c:pt>
                <c:pt idx="99">
                  <c:v>-151.09114825743805</c:v>
                </c:pt>
                <c:pt idx="100">
                  <c:v>-151.94608818516338</c:v>
                </c:pt>
                <c:pt idx="101">
                  <c:v>-152.65485077087175</c:v>
                </c:pt>
                <c:pt idx="102">
                  <c:v>-153.21468437255913</c:v>
                </c:pt>
                <c:pt idx="103">
                  <c:v>-153.62289130179502</c:v>
                </c:pt>
                <c:pt idx="104">
                  <c:v>-153.8768294152606</c:v>
                </c:pt>
                <c:pt idx="105">
                  <c:v>-153.97391368651748</c:v>
                </c:pt>
                <c:pt idx="106">
                  <c:v>-153.91161775729361</c:v>
                </c:pt>
                <c:pt idx="107">
                  <c:v>-153.68747546758203</c:v>
                </c:pt>
                <c:pt idx="108">
                  <c:v>-153.29908236385293</c:v>
                </c:pt>
                <c:pt idx="109">
                  <c:v>-152.74409718469096</c:v>
                </c:pt>
                <c:pt idx="110">
                  <c:v>-152.02024332317549</c:v>
                </c:pt>
                <c:pt idx="111">
                  <c:v>-151.12531026532812</c:v>
                </c:pt>
                <c:pt idx="112">
                  <c:v>-150.05715500396602</c:v>
                </c:pt>
                <c:pt idx="113">
                  <c:v>-148.81370342730034</c:v>
                </c:pt>
                <c:pt idx="114">
                  <c:v>-147.39295168163758</c:v>
                </c:pt>
                <c:pt idx="115">
                  <c:v>-145.79296750754142</c:v>
                </c:pt>
                <c:pt idx="116">
                  <c:v>-144.01189154883036</c:v>
                </c:pt>
                <c:pt idx="117">
                  <c:v>-142.0479386337912</c:v>
                </c:pt>
                <c:pt idx="118">
                  <c:v>-139.89939902800114</c:v>
                </c:pt>
                <c:pt idx="119">
                  <c:v>-137.5646396581605</c:v>
                </c:pt>
                <c:pt idx="120">
                  <c:v>-135.0421053063493</c:v>
                </c:pt>
                <c:pt idx="121">
                  <c:v>-132.33031977413174</c:v>
                </c:pt>
                <c:pt idx="122">
                  <c:v>-129.42788701594299</c:v>
                </c:pt>
                <c:pt idx="123">
                  <c:v>-126.33349224120627</c:v>
                </c:pt>
                <c:pt idx="124">
                  <c:v>-123.04590298463711</c:v>
                </c:pt>
                <c:pt idx="125">
                  <c:v>-119.56397014420401</c:v>
                </c:pt>
                <c:pt idx="126">
                  <c:v>-115.88662898623028</c:v>
                </c:pt>
                <c:pt idx="127">
                  <c:v>-112.01290011712837</c:v>
                </c:pt>
                <c:pt idx="128">
                  <c:v>-107.94189042127545</c:v>
                </c:pt>
                <c:pt idx="129">
                  <c:v>-103.67279396454774</c:v>
                </c:pt>
                <c:pt idx="130">
                  <c:v>-99.204892863049395</c:v>
                </c:pt>
                <c:pt idx="131">
                  <c:v>-94.537558116577202</c:v>
                </c:pt>
                <c:pt idx="132">
                  <c:v>-89.670250406384298</c:v>
                </c:pt>
                <c:pt idx="133">
                  <c:v>-84.602520856810258</c:v>
                </c:pt>
                <c:pt idx="134">
                  <c:v>-79.334011760369606</c:v>
                </c:pt>
                <c:pt idx="135">
                  <c:v>-73.864457265892497</c:v>
                </c:pt>
                <c:pt idx="136">
                  <c:v>-68.193684029337192</c:v>
                </c:pt>
                <c:pt idx="137">
                  <c:v>-62.321611826897879</c:v>
                </c:pt>
                <c:pt idx="138">
                  <c:v>-56.24825413005226</c:v>
                </c:pt>
                <c:pt idx="139">
                  <c:v>-49.973718642207928</c:v>
                </c:pt>
                <c:pt idx="140">
                  <c:v>-43.498207796616327</c:v>
                </c:pt>
                <c:pt idx="141">
                  <c:v>-36.822019215241085</c:v>
                </c:pt>
                <c:pt idx="142">
                  <c:v>-29.945546128285173</c:v>
                </c:pt>
                <c:pt idx="143">
                  <c:v>-22.869277754092195</c:v>
                </c:pt>
                <c:pt idx="144">
                  <c:v>-15.593799639151939</c:v>
                </c:pt>
                <c:pt idx="145">
                  <c:v>-8.1197939579601552</c:v>
                </c:pt>
                <c:pt idx="146">
                  <c:v>-0.44803977249478066</c:v>
                </c:pt>
                <c:pt idx="147">
                  <c:v>7.4205867489113189</c:v>
                </c:pt>
                <c:pt idx="148">
                  <c:v>15.485112153511068</c:v>
                </c:pt>
                <c:pt idx="149">
                  <c:v>23.744465567082102</c:v>
                </c:pt>
                <c:pt idx="150">
                  <c:v>32.197478598041471</c:v>
                </c:pt>
                <c:pt idx="151">
                  <c:v>40.84288528288846</c:v>
                </c:pt>
                <c:pt idx="152">
                  <c:v>49.679322073127651</c:v>
                </c:pt>
                <c:pt idx="153">
                  <c:v>58.705327863784532</c:v>
                </c:pt>
                <c:pt idx="154">
                  <c:v>67.919344063633048</c:v>
                </c:pt>
                <c:pt idx="155">
                  <c:v>77.319714707221692</c:v>
                </c:pt>
                <c:pt idx="156">
                  <c:v>86.904686608780708</c:v>
                </c:pt>
                <c:pt idx="157">
                  <c:v>96.672409558061645</c:v>
                </c:pt>
                <c:pt idx="158">
                  <c:v>106.62093655816204</c:v>
                </c:pt>
                <c:pt idx="159">
                  <c:v>116.74822410535262</c:v>
                </c:pt>
                <c:pt idx="160">
                  <c:v>127.05213251092732</c:v>
                </c:pt>
                <c:pt idx="161">
                  <c:v>137.53042626506056</c:v>
                </c:pt>
                <c:pt idx="162">
                  <c:v>148.18077444265487</c:v>
                </c:pt>
                <c:pt idx="163">
                  <c:v>159.00075115113316</c:v>
                </c:pt>
                <c:pt idx="164">
                  <c:v>169.98783602012816</c:v>
                </c:pt>
                <c:pt idx="165">
                  <c:v>181.13941473298496</c:v>
                </c:pt>
                <c:pt idx="166">
                  <c:v>192.45277959999396</c:v>
                </c:pt>
                <c:pt idx="167">
                  <c:v>203.92513017324643</c:v>
                </c:pt>
                <c:pt idx="168">
                  <c:v>215.55357390298764</c:v>
                </c:pt>
                <c:pt idx="169">
                  <c:v>227.33512683532865</c:v>
                </c:pt>
                <c:pt idx="170">
                  <c:v>239.26671435115964</c:v>
                </c:pt>
                <c:pt idx="171">
                  <c:v>251.34517194609089</c:v>
                </c:pt>
                <c:pt idx="172">
                  <c:v>263.56724605123441</c:v>
                </c:pt>
                <c:pt idx="173">
                  <c:v>275.92959489461612</c:v>
                </c:pt>
                <c:pt idx="174">
                  <c:v>288.42878940299772</c:v>
                </c:pt>
                <c:pt idx="175">
                  <c:v>301.06131414386778</c:v>
                </c:pt>
                <c:pt idx="176">
                  <c:v>313.82356830735</c:v>
                </c:pt>
                <c:pt idx="177">
                  <c:v>326.71186672774866</c:v>
                </c:pt>
                <c:pt idx="178">
                  <c:v>339.72244094445284</c:v>
                </c:pt>
                <c:pt idx="179">
                  <c:v>352.8514403018869</c:v>
                </c:pt>
                <c:pt idx="180">
                  <c:v>366.09493308819401</c:v>
                </c:pt>
              </c:numCache>
            </c:numRef>
          </c:yVal>
          <c:smooth val="1"/>
        </c:ser>
        <c:dLbls>
          <c:showLegendKey val="0"/>
          <c:showVal val="0"/>
          <c:showCatName val="0"/>
          <c:showSerName val="0"/>
          <c:showPercent val="0"/>
          <c:showBubbleSize val="0"/>
        </c:dLbls>
        <c:axId val="281769240"/>
        <c:axId val="281770024"/>
      </c:scatterChart>
      <c:valAx>
        <c:axId val="281769240"/>
        <c:scaling>
          <c:orientation val="minMax"/>
        </c:scaling>
        <c:delete val="0"/>
        <c:axPos val="b"/>
        <c:title>
          <c:tx>
            <c:rich>
              <a:bodyPr/>
              <a:lstStyle/>
              <a:p>
                <a:pPr>
                  <a:defRPr/>
                </a:pPr>
                <a:r>
                  <a:rPr lang="en-US"/>
                  <a:t>Angle (deg)</a:t>
                </a:r>
              </a:p>
            </c:rich>
          </c:tx>
          <c:layout/>
          <c:overlay val="0"/>
        </c:title>
        <c:numFmt formatCode="General" sourceLinked="1"/>
        <c:majorTickMark val="out"/>
        <c:minorTickMark val="none"/>
        <c:tickLblPos val="nextTo"/>
        <c:crossAx val="281770024"/>
        <c:crosses val="autoZero"/>
        <c:crossBetween val="midCat"/>
      </c:valAx>
      <c:valAx>
        <c:axId val="281770024"/>
        <c:scaling>
          <c:orientation val="minMax"/>
        </c:scaling>
        <c:delete val="0"/>
        <c:axPos val="l"/>
        <c:majorGridlines>
          <c:spPr>
            <a:ln>
              <a:noFill/>
            </a:ln>
          </c:spPr>
        </c:majorGridlines>
        <c:title>
          <c:tx>
            <c:rich>
              <a:bodyPr rot="-5400000" vert="horz"/>
              <a:lstStyle/>
              <a:p>
                <a:pPr>
                  <a:defRPr/>
                </a:pPr>
                <a:r>
                  <a:rPr lang="en-US"/>
                  <a:t>Circumferential Moment</a:t>
                </a:r>
                <a:r>
                  <a:rPr lang="en-US" baseline="0"/>
                  <a:t> (N.m)</a:t>
                </a:r>
                <a:endParaRPr lang="en-US"/>
              </a:p>
            </c:rich>
          </c:tx>
          <c:layout/>
          <c:overlay val="0"/>
        </c:title>
        <c:numFmt formatCode="General" sourceLinked="1"/>
        <c:majorTickMark val="out"/>
        <c:minorTickMark val="none"/>
        <c:tickLblPos val="nextTo"/>
        <c:crossAx val="281769240"/>
        <c:crosses val="autoZero"/>
        <c:crossBetween val="midCat"/>
      </c:valAx>
    </c:plotArea>
    <c:legend>
      <c:legendPos val="r"/>
      <c:layout>
        <c:manualLayout>
          <c:xMode val="edge"/>
          <c:yMode val="edge"/>
          <c:x val="0.77724754344490676"/>
          <c:y val="0.28559565869639408"/>
          <c:w val="0.22006493548030415"/>
          <c:h val="0.42880836457231142"/>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255391898751612E-2"/>
          <c:y val="4.4395270994650918E-2"/>
          <c:w val="0.68883910163361983"/>
          <c:h val="0.82682752429976902"/>
        </c:manualLayout>
      </c:layout>
      <c:scatterChart>
        <c:scatterStyle val="smoothMarker"/>
        <c:varyColors val="0"/>
        <c:ser>
          <c:idx val="0"/>
          <c:order val="0"/>
          <c:tx>
            <c:v>SC_Bending_SUS</c:v>
          </c:tx>
          <c:marker>
            <c:symbol val="none"/>
          </c:marker>
          <c:xVal>
            <c:numRef>
              <c:f>'Bare Pipe_Roark'!$A$193:$A$373</c:f>
              <c:numCache>
                <c:formatCode>General</c:formatCode>
                <c:ptCount val="1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numCache>
            </c:numRef>
          </c:xVal>
          <c:yVal>
            <c:numRef>
              <c:f>'Bare Pipe_Roark'!$E$193:$E$373</c:f>
              <c:numCache>
                <c:formatCode>General</c:formatCode>
                <c:ptCount val="18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numCache>
            </c:numRef>
          </c:yVal>
          <c:smooth val="1"/>
        </c:ser>
        <c:ser>
          <c:idx val="1"/>
          <c:order val="1"/>
          <c:tx>
            <c:v>SC_Bend_EXP</c:v>
          </c:tx>
          <c:marker>
            <c:symbol val="none"/>
          </c:marker>
          <c:xVal>
            <c:numRef>
              <c:f>'Bare Pipe_Roark'!$A$193:$A$373</c:f>
              <c:numCache>
                <c:formatCode>General</c:formatCode>
                <c:ptCount val="1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numCache>
            </c:numRef>
          </c:xVal>
          <c:yVal>
            <c:numRef>
              <c:f>'Bare Pipe_Roark'!$I$193:$I$373</c:f>
              <c:numCache>
                <c:formatCode>General</c:formatCode>
                <c:ptCount val="181"/>
                <c:pt idx="0">
                  <c:v>5.4305867317037899</c:v>
                </c:pt>
                <c:pt idx="1">
                  <c:v>5.4281138142849921</c:v>
                </c:pt>
                <c:pt idx="2">
                  <c:v>5.4206968227687753</c:v>
                </c:pt>
                <c:pt idx="3">
                  <c:v>5.4083410385324422</c:v>
                </c:pt>
                <c:pt idx="4">
                  <c:v>5.3910552610611102</c:v>
                </c:pt>
                <c:pt idx="5">
                  <c:v>5.3688518037333441</c:v>
                </c:pt>
                <c:pt idx="6">
                  <c:v>5.3417464879235137</c:v>
                </c:pt>
                <c:pt idx="7">
                  <c:v>5.3097586354232904</c:v>
                </c:pt>
                <c:pt idx="8">
                  <c:v>5.2729110591854651</c:v>
                </c:pt>
                <c:pt idx="9">
                  <c:v>5.2312300523939124</c:v>
                </c:pt>
                <c:pt idx="10">
                  <c:v>5.1847453758642548</c:v>
                </c:pt>
                <c:pt idx="11">
                  <c:v>5.1334902437804502</c:v>
                </c:pt>
                <c:pt idx="12">
                  <c:v>5.0775013077732476</c:v>
                </c:pt>
                <c:pt idx="13">
                  <c:v>5.0168186393471164</c:v>
                </c:pt>
                <c:pt idx="14">
                  <c:v>4.9514857106629568</c:v>
                </c:pt>
                <c:pt idx="15">
                  <c:v>4.8815493736845861</c:v>
                </c:pt>
                <c:pt idx="16">
                  <c:v>4.8070598376976621</c:v>
                </c:pt>
                <c:pt idx="17">
                  <c:v>4.7280706452104058</c:v>
                </c:pt>
                <c:pt idx="18">
                  <c:v>4.6446386462461238</c:v>
                </c:pt>
                <c:pt idx="19">
                  <c:v>4.5568239710382574</c:v>
                </c:pt>
                <c:pt idx="20">
                  <c:v>4.4646900011392869</c:v>
                </c:pt>
                <c:pt idx="21">
                  <c:v>4.3683033389555224</c:v>
                </c:pt>
                <c:pt idx="22">
                  <c:v>4.2677337757204743</c:v>
                </c:pt>
                <c:pt idx="23">
                  <c:v>4.1630542579201135</c:v>
                </c:pt>
                <c:pt idx="24">
                  <c:v>4.0543408521840139</c:v>
                </c:pt>
                <c:pt idx="25">
                  <c:v>3.9416727086569932</c:v>
                </c:pt>
                <c:pt idx="26">
                  <c:v>3.8251320228665069</c:v>
                </c:pt>
                <c:pt idx="27">
                  <c:v>3.704803996101687</c:v>
                </c:pt>
                <c:pt idx="28">
                  <c:v>3.5807767943205371</c:v>
                </c:pt>
                <c:pt idx="29">
                  <c:v>3.453141505602404</c:v>
                </c:pt>
                <c:pt idx="30">
                  <c:v>3.3219920961634712</c:v>
                </c:pt>
                <c:pt idx="31">
                  <c:v>3.1874253649536279</c:v>
                </c:pt>
                <c:pt idx="32">
                  <c:v>3.0495408968536402</c:v>
                </c:pt>
                <c:pt idx="33">
                  <c:v>2.9084410144921646</c:v>
                </c:pt>
                <c:pt idx="34">
                  <c:v>2.7642307287027119</c:v>
                </c:pt>
                <c:pt idx="35">
                  <c:v>2.6170176876412601</c:v>
                </c:pt>
                <c:pt idx="36">
                  <c:v>2.4669121245857557</c:v>
                </c:pt>
                <c:pt idx="37">
                  <c:v>2.3140268044393397</c:v>
                </c:pt>
                <c:pt idx="38">
                  <c:v>2.1584769689596266</c:v>
                </c:pt>
                <c:pt idx="39">
                  <c:v>2.0003802807369788</c:v>
                </c:pt>
                <c:pt idx="40">
                  <c:v>1.8398567659451925</c:v>
                </c:pt>
                <c:pt idx="41">
                  <c:v>1.6770287558885453</c:v>
                </c:pt>
                <c:pt idx="42">
                  <c:v>1.512020827369708</c:v>
                </c:pt>
                <c:pt idx="43">
                  <c:v>1.3449597419034744</c:v>
                </c:pt>
                <c:pt idx="44">
                  <c:v>1.1759743838017871</c:v>
                </c:pt>
                <c:pt idx="45">
                  <c:v>1.0051956971560294</c:v>
                </c:pt>
                <c:pt idx="46">
                  <c:v>0.83275662174300047</c:v>
                </c:pt>
                <c:pt idx="47">
                  <c:v>0.65879202788147972</c:v>
                </c:pt>
                <c:pt idx="48">
                  <c:v>0.4834386502667361</c:v>
                </c:pt>
                <c:pt idx="49">
                  <c:v>0.30683502081075575</c:v>
                </c:pt>
                <c:pt idx="50">
                  <c:v>0.12912140051644952</c:v>
                </c:pt>
                <c:pt idx="51">
                  <c:v>-4.9560289585530951E-2</c:v>
                </c:pt>
                <c:pt idx="52">
                  <c:v>-0.22906653840833038</c:v>
                </c:pt>
                <c:pt idx="53">
                  <c:v>-0.40925231565924514</c:v>
                </c:pt>
                <c:pt idx="54">
                  <c:v>-0.58997114353915936</c:v>
                </c:pt>
                <c:pt idx="55">
                  <c:v>-0.7710751692607305</c:v>
                </c:pt>
                <c:pt idx="56">
                  <c:v>-0.95241523835480879</c:v>
                </c:pt>
                <c:pt idx="57">
                  <c:v>-1.1338409687341195</c:v>
                </c:pt>
                <c:pt idx="58">
                  <c:v>-1.3152008254829375</c:v>
                </c:pt>
                <c:pt idx="59">
                  <c:v>-1.4963421963411179</c:v>
                </c:pt>
                <c:pt idx="60">
                  <c:v>-1.6771114678506147</c:v>
                </c:pt>
                <c:pt idx="61">
                  <c:v>-1.8573541021321762</c:v>
                </c:pt>
                <c:pt idx="62">
                  <c:v>-2.0369147142597877</c:v>
                </c:pt>
                <c:pt idx="63">
                  <c:v>-2.215637150199981</c:v>
                </c:pt>
                <c:pt idx="64">
                  <c:v>-2.3933645652830027</c:v>
                </c:pt>
                <c:pt idx="65">
                  <c:v>-2.5699395031724834</c:v>
                </c:pt>
                <c:pt idx="66">
                  <c:v>-2.7452039753001025</c:v>
                </c:pt>
                <c:pt idx="67">
                  <c:v>-2.9189995407314067</c:v>
                </c:pt>
                <c:pt idx="68">
                  <c:v>-3.0911673864288174</c:v>
                </c:pt>
                <c:pt idx="69">
                  <c:v>-3.2615484078776262</c:v>
                </c:pt>
                <c:pt idx="70">
                  <c:v>-3.4299832900406217</c:v>
                </c:pt>
                <c:pt idx="71">
                  <c:v>-3.5963125886067213</c:v>
                </c:pt>
                <c:pt idx="72">
                  <c:v>-3.76037681149896</c:v>
                </c:pt>
                <c:pt idx="73">
                  <c:v>-3.9220165006069543</c:v>
                </c:pt>
                <c:pt idx="74">
                  <c:v>-4.0810723137088303</c:v>
                </c:pt>
                <c:pt idx="75">
                  <c:v>-4.2373851065475163</c:v>
                </c:pt>
                <c:pt idx="76">
                  <c:v>-4.3907960150261998</c:v>
                </c:pt>
                <c:pt idx="77">
                  <c:v>-4.5411465374875997</c:v>
                </c:pt>
                <c:pt idx="78">
                  <c:v>-4.6882786170416866</c:v>
                </c:pt>
                <c:pt idx="79">
                  <c:v>-4.8320347239064541</c:v>
                </c:pt>
                <c:pt idx="80">
                  <c:v>-4.9722579377261171</c:v>
                </c:pt>
                <c:pt idx="81">
                  <c:v>-5.1087920298313625</c:v>
                </c:pt>
                <c:pt idx="82">
                  <c:v>-5.2414815454059545</c:v>
                </c:pt>
                <c:pt idx="83">
                  <c:v>-5.3701718855242548</c:v>
                </c:pt>
                <c:pt idx="84">
                  <c:v>-5.4947093890239742</c:v>
                </c:pt>
                <c:pt idx="85">
                  <c:v>-5.6149414141787561</c:v>
                </c:pt>
                <c:pt idx="86">
                  <c:v>-5.7307164201350069</c:v>
                </c:pt>
                <c:pt idx="87">
                  <c:v>-5.8418840480775343</c:v>
                </c:pt>
                <c:pt idx="88">
                  <c:v>-5.9482952020886177</c:v>
                </c:pt>
                <c:pt idx="89">
                  <c:v>-6.0498021296652418</c:v>
                </c:pt>
                <c:pt idx="90">
                  <c:v>-6.146258501859176</c:v>
                </c:pt>
                <c:pt idx="91">
                  <c:v>-6.2375194930048989</c:v>
                </c:pt>
                <c:pt idx="92">
                  <c:v>-6.3234418600002691</c:v>
                </c:pt>
                <c:pt idx="93">
                  <c:v>-6.4038840211051902</c:v>
                </c:pt>
                <c:pt idx="94">
                  <c:v>-6.4787061342234473</c:v>
                </c:pt>
                <c:pt idx="95">
                  <c:v>-6.5477701746332304</c:v>
                </c:pt>
                <c:pt idx="96">
                  <c:v>-6.6109400121319455</c:v>
                </c:pt>
                <c:pt idx="97">
                  <c:v>-6.6680814875611309</c:v>
                </c:pt>
                <c:pt idx="98">
                  <c:v>-6.719062488677463</c:v>
                </c:pt>
                <c:pt idx="99">
                  <c:v>-6.763753025336106</c:v>
                </c:pt>
                <c:pt idx="100">
                  <c:v>-6.8020253039528527</c:v>
                </c:pt>
                <c:pt idx="101">
                  <c:v>-6.8337538012117509</c:v>
                </c:pt>
                <c:pt idx="102">
                  <c:v>-6.8588153369851517</c:v>
                </c:pt>
                <c:pt idx="103">
                  <c:v>-6.8770891464334598</c:v>
                </c:pt>
                <c:pt idx="104">
                  <c:v>-6.8884569512520075</c:v>
                </c:pt>
                <c:pt idx="105">
                  <c:v>-6.8928030300329262</c:v>
                </c:pt>
                <c:pt idx="106">
                  <c:v>-6.8900142877100725</c:v>
                </c:pt>
                <c:pt idx="107">
                  <c:v>-6.8799803240555022</c:v>
                </c:pt>
                <c:pt idx="108">
                  <c:v>-6.8625935011961561</c:v>
                </c:pt>
                <c:pt idx="109">
                  <c:v>-6.8377490101199632</c:v>
                </c:pt>
                <c:pt idx="110">
                  <c:v>-6.8053449361408287</c:v>
                </c:pt>
                <c:pt idx="111">
                  <c:v>-6.7652823232922268</c:v>
                </c:pt>
                <c:pt idx="112">
                  <c:v>-6.7174652376198303</c:v>
                </c:pt>
                <c:pt idx="113">
                  <c:v>-6.6618008293435675</c:v>
                </c:pt>
                <c:pt idx="114">
                  <c:v>-6.5981993938603685</c:v>
                </c:pt>
                <c:pt idx="115">
                  <c:v>-6.5265744315588456</c:v>
                </c:pt>
                <c:pt idx="116">
                  <c:v>-6.446842706417943</c:v>
                </c:pt>
                <c:pt idx="117">
                  <c:v>-6.3589243033617944</c:v>
                </c:pt>
                <c:pt idx="118">
                  <c:v>-6.2627426843436087</c:v>
                </c:pt>
                <c:pt idx="119">
                  <c:v>-6.1582247431318278</c:v>
                </c:pt>
                <c:pt idx="120">
                  <c:v>-6.0453008587722596</c:v>
                </c:pt>
                <c:pt idx="121">
                  <c:v>-5.9239049477004393</c:v>
                </c:pt>
                <c:pt idx="122">
                  <c:v>-5.7939745144788661</c:v>
                </c:pt>
                <c:pt idx="123">
                  <c:v>-5.6554507011344324</c:v>
                </c:pt>
                <c:pt idx="124">
                  <c:v>-5.5082783350716999</c:v>
                </c:pt>
                <c:pt idx="125">
                  <c:v>-5.3524059755383071</c:v>
                </c:pt>
                <c:pt idx="126">
                  <c:v>-5.1877859586193917</c:v>
                </c:pt>
                <c:pt idx="127">
                  <c:v>-5.0143744407382966</c:v>
                </c:pt>
                <c:pt idx="128">
                  <c:v>-4.8321314406415503</c:v>
                </c:pt>
                <c:pt idx="129">
                  <c:v>-4.6410208798465229</c:v>
                </c:pt>
                <c:pt idx="130">
                  <c:v>-4.4410106215309817</c:v>
                </c:pt>
                <c:pt idx="131">
                  <c:v>-4.23207250784401</c:v>
                </c:pt>
                <c:pt idx="132">
                  <c:v>-4.0141823956187341</c:v>
                </c:pt>
                <c:pt idx="133">
                  <c:v>-3.7873201904674856</c:v>
                </c:pt>
                <c:pt idx="134">
                  <c:v>-3.5514698792411492</c:v>
                </c:pt>
                <c:pt idx="135">
                  <c:v>-3.3066195608344984</c:v>
                </c:pt>
                <c:pt idx="136">
                  <c:v>-3.052761475320493</c:v>
                </c:pt>
                <c:pt idx="137">
                  <c:v>-2.7898920313966946</c:v>
                </c:pt>
                <c:pt idx="138">
                  <c:v>-2.5180118321278693</c:v>
                </c:pt>
                <c:pt idx="139">
                  <c:v>-2.2371256989695252</c:v>
                </c:pt>
                <c:pt idx="140">
                  <c:v>-1.9472426940575496</c:v>
                </c:pt>
                <c:pt idx="141">
                  <c:v>-1.6483761407499291</c:v>
                </c:pt>
                <c:pt idx="142">
                  <c:v>-1.3405436424073223</c:v>
                </c:pt>
                <c:pt idx="143">
                  <c:v>-1.0237670993997359</c:v>
                </c:pt>
                <c:pt idx="144">
                  <c:v>-0.69807272432722889</c:v>
                </c:pt>
                <c:pt idx="145">
                  <c:v>-0.36349105544344934</c:v>
                </c:pt>
                <c:pt idx="146">
                  <c:v>-2.0056968271357941E-2</c:v>
                </c:pt>
                <c:pt idx="147">
                  <c:v>0.33219031459870518</c:v>
                </c:pt>
                <c:pt idx="148">
                  <c:v>0.69320721553801068</c:v>
                </c:pt>
                <c:pt idx="149">
                  <c:v>1.0629457957437578</c:v>
                </c:pt>
                <c:pt idx="150">
                  <c:v>1.4413537509466685</c:v>
                </c:pt>
                <c:pt idx="151">
                  <c:v>1.8283744089686791</c:v>
                </c:pt>
                <c:pt idx="152">
                  <c:v>2.2239467291375368</c:v>
                </c:pt>
                <c:pt idx="153">
                  <c:v>2.6280053035633304</c:v>
                </c:pt>
                <c:pt idx="154">
                  <c:v>3.0404803602823023</c:v>
                </c:pt>
                <c:pt idx="155">
                  <c:v>3.4612977682718089</c:v>
                </c:pt>
                <c:pt idx="156">
                  <c:v>3.8903790443401429</c:v>
                </c:pt>
                <c:pt idx="157">
                  <c:v>4.327641361893491</c:v>
                </c:pt>
                <c:pt idx="158">
                  <c:v>4.7729975615824056</c:v>
                </c:pt>
                <c:pt idx="159">
                  <c:v>5.2263561638285623</c:v>
                </c:pt>
                <c:pt idx="160">
                  <c:v>5.6876213832327114</c:v>
                </c:pt>
                <c:pt idx="161">
                  <c:v>6.1566931448631292</c:v>
                </c:pt>
                <c:pt idx="162">
                  <c:v>6.6334671024238112</c:v>
                </c:pt>
                <c:pt idx="163">
                  <c:v>7.1178346583003576</c:v>
                </c:pt>
                <c:pt idx="164">
                  <c:v>7.6096829854814381</c:v>
                </c:pt>
                <c:pt idx="165">
                  <c:v>8.1088950513520519</c:v>
                </c:pt>
                <c:pt idx="166">
                  <c:v>8.6153496433549055</c:v>
                </c:pt>
                <c:pt idx="167">
                  <c:v>9.1289213965150573</c:v>
                </c:pt>
                <c:pt idx="168">
                  <c:v>9.6494808228222553</c:v>
                </c:pt>
                <c:pt idx="169">
                  <c:v>10.176894342464735</c:v>
                </c:pt>
                <c:pt idx="170">
                  <c:v>10.711024316907439</c:v>
                </c:pt>
                <c:pt idx="171">
                  <c:v>11.2517290838069</c:v>
                </c:pt>
                <c:pt idx="172">
                  <c:v>11.79886299375438</c:v>
                </c:pt>
                <c:pt idx="173">
                  <c:v>12.352276448837889</c:v>
                </c:pt>
                <c:pt idx="174">
                  <c:v>12.911815943013178</c:v>
                </c:pt>
                <c:pt idx="175">
                  <c:v>13.477324104272961</c:v>
                </c:pt>
                <c:pt idx="176">
                  <c:v>14.048639738603061</c:v>
                </c:pt>
                <c:pt idx="177">
                  <c:v>14.625597875712952</c:v>
                </c:pt>
                <c:pt idx="178">
                  <c:v>15.208029816528258</c:v>
                </c:pt>
                <c:pt idx="179">
                  <c:v>15.795763182431173</c:v>
                </c:pt>
                <c:pt idx="180">
                  <c:v>16.388621966234822</c:v>
                </c:pt>
              </c:numCache>
            </c:numRef>
          </c:yVal>
          <c:smooth val="1"/>
        </c:ser>
        <c:dLbls>
          <c:showLegendKey val="0"/>
          <c:showVal val="0"/>
          <c:showCatName val="0"/>
          <c:showSerName val="0"/>
          <c:showPercent val="0"/>
          <c:showBubbleSize val="0"/>
        </c:dLbls>
        <c:axId val="281767672"/>
        <c:axId val="281764928"/>
      </c:scatterChart>
      <c:valAx>
        <c:axId val="281767672"/>
        <c:scaling>
          <c:orientation val="minMax"/>
        </c:scaling>
        <c:delete val="0"/>
        <c:axPos val="b"/>
        <c:title>
          <c:tx>
            <c:rich>
              <a:bodyPr/>
              <a:lstStyle/>
              <a:p>
                <a:pPr>
                  <a:defRPr/>
                </a:pPr>
                <a:r>
                  <a:rPr lang="en-US"/>
                  <a:t>Angle (deg)</a:t>
                </a:r>
              </a:p>
            </c:rich>
          </c:tx>
          <c:layout/>
          <c:overlay val="0"/>
        </c:title>
        <c:numFmt formatCode="General" sourceLinked="1"/>
        <c:majorTickMark val="out"/>
        <c:minorTickMark val="none"/>
        <c:tickLblPos val="nextTo"/>
        <c:crossAx val="281764928"/>
        <c:crosses val="autoZero"/>
        <c:crossBetween val="midCat"/>
      </c:valAx>
      <c:valAx>
        <c:axId val="281764928"/>
        <c:scaling>
          <c:orientation val="minMax"/>
        </c:scaling>
        <c:delete val="0"/>
        <c:axPos val="l"/>
        <c:majorGridlines>
          <c:spPr>
            <a:ln>
              <a:noFill/>
            </a:ln>
          </c:spPr>
        </c:majorGridlines>
        <c:title>
          <c:tx>
            <c:rich>
              <a:bodyPr rot="-5400000" vert="horz"/>
              <a:lstStyle/>
              <a:p>
                <a:pPr>
                  <a:defRPr/>
                </a:pPr>
                <a:r>
                  <a:rPr lang="en-US"/>
                  <a:t>Circumferential Stress</a:t>
                </a:r>
                <a:r>
                  <a:rPr lang="en-US" baseline="0"/>
                  <a:t> (MPa)</a:t>
                </a:r>
                <a:endParaRPr lang="en-US"/>
              </a:p>
            </c:rich>
          </c:tx>
          <c:layout/>
          <c:overlay val="0"/>
        </c:title>
        <c:numFmt formatCode="General" sourceLinked="1"/>
        <c:majorTickMark val="out"/>
        <c:minorTickMark val="none"/>
        <c:tickLblPos val="nextTo"/>
        <c:crossAx val="281767672"/>
        <c:crosses val="autoZero"/>
        <c:crossBetween val="midCat"/>
      </c:valAx>
    </c:plotArea>
    <c:legend>
      <c:legendPos val="r"/>
      <c:layout>
        <c:manualLayout>
          <c:xMode val="edge"/>
          <c:yMode val="edge"/>
          <c:x val="0.78324347824065343"/>
          <c:y val="0.43169097299514908"/>
          <c:w val="0.212749824889678"/>
          <c:h val="0.14461507169734567"/>
        </c:manualLayout>
      </c:layout>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CheckBox" checked="Checked" fmlaLink="Trunnion!$B$2" noThreeD="1"/>
</file>

<file path=xl/ctrlProps/ctrlProp10.xml><?xml version="1.0" encoding="utf-8"?>
<formControlPr xmlns="http://schemas.microsoft.com/office/spreadsheetml/2009/9/main" objectType="CheckBox" checked="Checked" fmlaLink="'Structure C'!$A$2" lockText="1" noThreeD="1"/>
</file>

<file path=xl/ctrlProps/ctrlProp11.xml><?xml version="1.0" encoding="utf-8"?>
<formControlPr xmlns="http://schemas.microsoft.com/office/spreadsheetml/2009/9/main" objectType="CheckBox" checked="Checked" fmlaLink="'Structure C'!$B$2" lockText="1" noThreeD="1"/>
</file>

<file path=xl/ctrlProps/ctrlProp12.xml><?xml version="1.0" encoding="utf-8"?>
<formControlPr xmlns="http://schemas.microsoft.com/office/spreadsheetml/2009/9/main" objectType="CheckBox" checked="Checked" fmlaLink="Saddle_Zick!$G$6" lockText="1" noThreeD="1"/>
</file>

<file path=xl/ctrlProps/ctrlProp13.xml><?xml version="1.0" encoding="utf-8"?>
<formControlPr xmlns="http://schemas.microsoft.com/office/spreadsheetml/2009/9/main" objectType="CheckBox" checked="Checked" fmlaLink="Saddle_Zick!$H$6" lockText="1" noThreeD="1"/>
</file>

<file path=xl/ctrlProps/ctrlProp14.xml><?xml version="1.0" encoding="utf-8"?>
<formControlPr xmlns="http://schemas.microsoft.com/office/spreadsheetml/2009/9/main" objectType="Drop" dropStyle="combo" dx="16" fmlaLink="Von_Mises!$C$11" fmlaRange="Von_Mises!$B$11:$B$18" noThreeD="1" sel="8" val="0"/>
</file>

<file path=xl/ctrlProps/ctrlProp2.xml><?xml version="1.0" encoding="utf-8"?>
<formControlPr xmlns="http://schemas.microsoft.com/office/spreadsheetml/2009/9/main" objectType="CheckBox" checked="Checked" fmlaLink="Trunnion!$C$2"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Trunnion!$A$2" noThreeD="1"/>
</file>

<file path=xl/ctrlProps/ctrlProp5.xml><?xml version="1.0" encoding="utf-8"?>
<formControlPr xmlns="http://schemas.microsoft.com/office/spreadsheetml/2009/9/main" objectType="Radio" checked="Checked" noThreeD="1"/>
</file>

<file path=xl/ctrlProps/ctrlProp6.xml><?xml version="1.0" encoding="utf-8"?>
<formControlPr xmlns="http://schemas.microsoft.com/office/spreadsheetml/2009/9/main" objectType="CheckBox" checked="Checked" fmlaLink="'Structure A'!$B$2" noThreeD="1"/>
</file>

<file path=xl/ctrlProps/ctrlProp7.xml><?xml version="1.0" encoding="utf-8"?>
<formControlPr xmlns="http://schemas.microsoft.com/office/spreadsheetml/2009/9/main" objectType="CheckBox" checked="Checked" fmlaLink="'Structure A'!$C$2" noThreeD="1"/>
</file>

<file path=xl/ctrlProps/ctrlProp8.xml><?xml version="1.0" encoding="utf-8"?>
<formControlPr xmlns="http://schemas.microsoft.com/office/spreadsheetml/2009/9/main" objectType="CheckBox" checked="Checked" fmlaLink="'Structure B'!$A$2" lockText="1" noThreeD="1"/>
</file>

<file path=xl/ctrlProps/ctrlProp9.xml><?xml version="1.0" encoding="utf-8"?>
<formControlPr xmlns="http://schemas.microsoft.com/office/spreadsheetml/2009/9/main" objectType="CheckBox" checked="Checked" fmlaLink="'Structure B'!$B$2"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18" Type="http://schemas.openxmlformats.org/officeDocument/2006/relationships/image" Target="../media/image12.png"/><Relationship Id="rId3" Type="http://schemas.openxmlformats.org/officeDocument/2006/relationships/image" Target="../media/image3.png"/><Relationship Id="rId21" Type="http://schemas.openxmlformats.org/officeDocument/2006/relationships/image" Target="../media/image15.png"/><Relationship Id="rId7" Type="http://schemas.openxmlformats.org/officeDocument/2006/relationships/chart" Target="../charts/chart4.xml"/><Relationship Id="rId12" Type="http://schemas.openxmlformats.org/officeDocument/2006/relationships/image" Target="../media/image6.png"/><Relationship Id="rId17" Type="http://schemas.openxmlformats.org/officeDocument/2006/relationships/image" Target="../media/image11.png"/><Relationship Id="rId2" Type="http://schemas.openxmlformats.org/officeDocument/2006/relationships/image" Target="../media/image2.pn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chart" Target="../charts/chart6.xml"/><Relationship Id="rId24" Type="http://schemas.openxmlformats.org/officeDocument/2006/relationships/chart" Target="../charts/chart8.xml"/><Relationship Id="rId5" Type="http://schemas.openxmlformats.org/officeDocument/2006/relationships/chart" Target="../charts/chart2.xml"/><Relationship Id="rId15" Type="http://schemas.openxmlformats.org/officeDocument/2006/relationships/image" Target="../media/image9.png"/><Relationship Id="rId23" Type="http://schemas.openxmlformats.org/officeDocument/2006/relationships/image" Target="../media/image16.png"/><Relationship Id="rId10" Type="http://schemas.openxmlformats.org/officeDocument/2006/relationships/chart" Target="../charts/chart5.xml"/><Relationship Id="rId19" Type="http://schemas.openxmlformats.org/officeDocument/2006/relationships/image" Target="../media/image13.png"/><Relationship Id="rId4" Type="http://schemas.openxmlformats.org/officeDocument/2006/relationships/chart" Target="../charts/chart1.xml"/><Relationship Id="rId9" Type="http://schemas.openxmlformats.org/officeDocument/2006/relationships/image" Target="../media/image5.png"/><Relationship Id="rId14" Type="http://schemas.openxmlformats.org/officeDocument/2006/relationships/image" Target="../media/image8.png"/><Relationship Id="rId22"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14</xdr:col>
      <xdr:colOff>178319</xdr:colOff>
      <xdr:row>2</xdr:row>
      <xdr:rowOff>33602</xdr:rowOff>
    </xdr:from>
    <xdr:to>
      <xdr:col>16</xdr:col>
      <xdr:colOff>259289</xdr:colOff>
      <xdr:row>11</xdr:row>
      <xdr:rowOff>219254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07652" y="425185"/>
          <a:ext cx="2287595" cy="1963652"/>
        </a:xfrm>
        <a:prstGeom prst="rect">
          <a:avLst/>
        </a:prstGeom>
      </xdr:spPr>
    </xdr:pic>
    <xdr:clientData/>
  </xdr:twoCellAnchor>
  <xdr:twoCellAnchor editAs="oneCell">
    <xdr:from>
      <xdr:col>5</xdr:col>
      <xdr:colOff>561975</xdr:colOff>
      <xdr:row>2</xdr:row>
      <xdr:rowOff>102656</xdr:rowOff>
    </xdr:from>
    <xdr:to>
      <xdr:col>7</xdr:col>
      <xdr:colOff>699560</xdr:colOff>
      <xdr:row>10</xdr:row>
      <xdr:rowOff>68193</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00" y="464606"/>
          <a:ext cx="1609726" cy="1704378"/>
        </a:xfrm>
        <a:prstGeom prst="rect">
          <a:avLst/>
        </a:prstGeom>
      </xdr:spPr>
    </xdr:pic>
    <xdr:clientData/>
  </xdr:twoCellAnchor>
  <xdr:twoCellAnchor editAs="oneCell">
    <xdr:from>
      <xdr:col>2</xdr:col>
      <xdr:colOff>272255</xdr:colOff>
      <xdr:row>13</xdr:row>
      <xdr:rowOff>43391</xdr:rowOff>
    </xdr:from>
    <xdr:to>
      <xdr:col>3</xdr:col>
      <xdr:colOff>1096699</xdr:colOff>
      <xdr:row>22</xdr:row>
      <xdr:rowOff>147554</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86693" y="2781829"/>
          <a:ext cx="1431662" cy="1818663"/>
        </a:xfrm>
        <a:prstGeom prst="rect">
          <a:avLst/>
        </a:prstGeom>
      </xdr:spPr>
    </xdr:pic>
    <xdr:clientData/>
  </xdr:twoCellAnchor>
  <xdr:twoCellAnchor>
    <xdr:from>
      <xdr:col>0</xdr:col>
      <xdr:colOff>52917</xdr:colOff>
      <xdr:row>56</xdr:row>
      <xdr:rowOff>54505</xdr:rowOff>
    </xdr:from>
    <xdr:to>
      <xdr:col>8</xdr:col>
      <xdr:colOff>582083</xdr:colOff>
      <xdr:row>72</xdr:row>
      <xdr:rowOff>137583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xdr:from>
          <xdr:col>7</xdr:col>
          <xdr:colOff>138640</xdr:colOff>
          <xdr:row>56</xdr:row>
          <xdr:rowOff>42332</xdr:rowOff>
        </xdr:from>
        <xdr:to>
          <xdr:col>8</xdr:col>
          <xdr:colOff>380998</xdr:colOff>
          <xdr:row>58</xdr:row>
          <xdr:rowOff>70907</xdr:rowOff>
        </xdr:to>
        <xdr:grpSp>
          <xdr:nvGrpSpPr>
            <xdr:cNvPr id="6" name="Group 5"/>
            <xdr:cNvGrpSpPr/>
          </xdr:nvGrpSpPr>
          <xdr:grpSpPr>
            <a:xfrm>
              <a:off x="5317859" y="11031801"/>
              <a:ext cx="1063889" cy="409575"/>
              <a:chOff x="7191354" y="10506178"/>
              <a:chExt cx="1600200" cy="409450"/>
            </a:xfrm>
          </xdr:grpSpPr>
          <xdr:sp macro="" textlink="">
            <xdr:nvSpPr>
              <xdr:cNvPr id="21506" name="Check Box 2" hidden="1">
                <a:extLst>
                  <a:ext uri="{63B3BB69-23CF-44E3-9099-C40C66FF867C}">
                    <a14:compatExt spid="_x0000_s21506"/>
                  </a:ext>
                </a:extLst>
              </xdr:cNvPr>
              <xdr:cNvSpPr/>
            </xdr:nvSpPr>
            <xdr:spPr bwMode="auto">
              <a:xfrm>
                <a:off x="7191375" y="10506178"/>
                <a:ext cx="1495424"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Longitudinal Stress</a:t>
                </a:r>
              </a:p>
            </xdr:txBody>
          </xdr:sp>
          <xdr:sp macro="" textlink="">
            <xdr:nvSpPr>
              <xdr:cNvPr id="21507" name="Check Box 3" hidden="1">
                <a:extLst>
                  <a:ext uri="{63B3BB69-23CF-44E3-9099-C40C66FF867C}">
                    <a14:compatExt spid="_x0000_s21507"/>
                  </a:ext>
                </a:extLst>
              </xdr:cNvPr>
              <xdr:cNvSpPr/>
            </xdr:nvSpPr>
            <xdr:spPr bwMode="auto">
              <a:xfrm>
                <a:off x="7191354" y="10725128"/>
                <a:ext cx="16002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Circumferential Stress</a:t>
                </a:r>
              </a:p>
            </xdr:txBody>
          </xdr:sp>
        </xdr:grpSp>
        <xdr:clientData fLocksWithSheet="0"/>
      </xdr:twoCellAnchor>
    </mc:Choice>
    <mc:Fallback/>
  </mc:AlternateContent>
  <xdr:twoCellAnchor>
    <xdr:from>
      <xdr:col>9</xdr:col>
      <xdr:colOff>29632</xdr:colOff>
      <xdr:row>56</xdr:row>
      <xdr:rowOff>70908</xdr:rowOff>
    </xdr:from>
    <xdr:to>
      <xdr:col>16</xdr:col>
      <xdr:colOff>714375</xdr:colOff>
      <xdr:row>72</xdr:row>
      <xdr:rowOff>158750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8</xdr:col>
          <xdr:colOff>50277</xdr:colOff>
          <xdr:row>52</xdr:row>
          <xdr:rowOff>171451</xdr:rowOff>
        </xdr:from>
        <xdr:to>
          <xdr:col>9</xdr:col>
          <xdr:colOff>555631</xdr:colOff>
          <xdr:row>53</xdr:row>
          <xdr:rowOff>182562</xdr:rowOff>
        </xdr:to>
        <xdr:grpSp>
          <xdr:nvGrpSpPr>
            <xdr:cNvPr id="8" name="Group 7"/>
            <xdr:cNvGrpSpPr/>
          </xdr:nvGrpSpPr>
          <xdr:grpSpPr>
            <a:xfrm>
              <a:off x="6051027" y="10387014"/>
              <a:ext cx="1112573" cy="201611"/>
              <a:chOff x="5876392" y="10244139"/>
              <a:chExt cx="1116552" cy="201611"/>
            </a:xfrm>
          </xdr:grpSpPr>
          <xdr:sp macro="" textlink="">
            <xdr:nvSpPr>
              <xdr:cNvPr id="21508" name="Group Box 4" hidden="1">
                <a:extLst>
                  <a:ext uri="{63B3BB69-23CF-44E3-9099-C40C66FF867C}">
                    <a14:compatExt spid="_x0000_s21508"/>
                  </a:ext>
                </a:extLst>
              </xdr:cNvPr>
              <xdr:cNvSpPr/>
            </xdr:nvSpPr>
            <xdr:spPr bwMode="auto">
              <a:xfrm>
                <a:off x="5895450" y="10272714"/>
                <a:ext cx="1097494" cy="173036"/>
              </a:xfrm>
              <a:prstGeom prst="rect">
                <a:avLst/>
              </a:prstGeom>
              <a:noFill/>
              <a:ln w="9525">
                <a:miter lim="800000"/>
                <a:headEnd/>
                <a:tailEnd/>
              </a:ln>
              <a:extLst>
                <a:ext uri="{909E8E84-426E-40DD-AFC4-6F175D3DCCD1}">
                  <a14:hiddenFill>
                    <a:noFill/>
                  </a14:hiddenFill>
                </a:ext>
              </a:extLst>
            </xdr:spPr>
          </xdr:sp>
          <xdr:sp macro="" textlink="">
            <xdr:nvSpPr>
              <xdr:cNvPr id="21509" name="Option Button 5" hidden="1">
                <a:extLst>
                  <a:ext uri="{63B3BB69-23CF-44E3-9099-C40C66FF867C}">
                    <a14:compatExt spid="_x0000_s21509"/>
                  </a:ext>
                </a:extLst>
              </xdr:cNvPr>
              <xdr:cNvSpPr/>
            </xdr:nvSpPr>
            <xdr:spPr bwMode="auto">
              <a:xfrm>
                <a:off x="5876392" y="10244139"/>
                <a:ext cx="326495" cy="1976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SUS</a:t>
                </a:r>
              </a:p>
            </xdr:txBody>
          </xdr:sp>
          <xdr:sp macro="" textlink="">
            <xdr:nvSpPr>
              <xdr:cNvPr id="21510" name="Option Button 6" hidden="1">
                <a:extLst>
                  <a:ext uri="{63B3BB69-23CF-44E3-9099-C40C66FF867C}">
                    <a14:compatExt spid="_x0000_s21510"/>
                  </a:ext>
                </a:extLst>
              </xdr:cNvPr>
              <xdr:cNvSpPr/>
            </xdr:nvSpPr>
            <xdr:spPr bwMode="auto">
              <a:xfrm>
                <a:off x="6556904" y="10244139"/>
                <a:ext cx="276225" cy="1976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EXP</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710140</xdr:colOff>
          <xdr:row>56</xdr:row>
          <xdr:rowOff>102660</xdr:rowOff>
        </xdr:from>
        <xdr:to>
          <xdr:col>16</xdr:col>
          <xdr:colOff>824441</xdr:colOff>
          <xdr:row>58</xdr:row>
          <xdr:rowOff>112185</xdr:rowOff>
        </xdr:to>
        <xdr:grpSp>
          <xdr:nvGrpSpPr>
            <xdr:cNvPr id="13" name="Group 12"/>
            <xdr:cNvGrpSpPr/>
          </xdr:nvGrpSpPr>
          <xdr:grpSpPr>
            <a:xfrm>
              <a:off x="11878203" y="11092129"/>
              <a:ext cx="1671638" cy="390525"/>
              <a:chOff x="7715254" y="11353967"/>
              <a:chExt cx="1457330" cy="390493"/>
            </a:xfrm>
          </xdr:grpSpPr>
          <xdr:sp macro="" textlink="">
            <xdr:nvSpPr>
              <xdr:cNvPr id="21511" name="Check Box 7" hidden="1">
                <a:extLst>
                  <a:ext uri="{63B3BB69-23CF-44E3-9099-C40C66FF867C}">
                    <a14:compatExt spid="_x0000_s21511"/>
                  </a:ext>
                </a:extLst>
              </xdr:cNvPr>
              <xdr:cNvSpPr/>
            </xdr:nvSpPr>
            <xdr:spPr bwMode="auto">
              <a:xfrm>
                <a:off x="7715254" y="11353967"/>
                <a:ext cx="1162052" cy="1428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Longitudinal Stress</a:t>
                </a:r>
              </a:p>
            </xdr:txBody>
          </xdr:sp>
          <xdr:sp macro="" textlink="">
            <xdr:nvSpPr>
              <xdr:cNvPr id="21512" name="Check Box 8" hidden="1">
                <a:extLst>
                  <a:ext uri="{63B3BB69-23CF-44E3-9099-C40C66FF867C}">
                    <a14:compatExt spid="_x0000_s21512"/>
                  </a:ext>
                </a:extLst>
              </xdr:cNvPr>
              <xdr:cNvSpPr/>
            </xdr:nvSpPr>
            <xdr:spPr bwMode="auto">
              <a:xfrm>
                <a:off x="7715257" y="11544431"/>
                <a:ext cx="1457327" cy="2000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Circumferential Stress</a:t>
                </a:r>
              </a:p>
            </xdr:txBody>
          </xdr:sp>
        </xdr:grpSp>
        <xdr:clientData/>
      </xdr:twoCellAnchor>
    </mc:Choice>
    <mc:Fallback/>
  </mc:AlternateContent>
  <xdr:twoCellAnchor>
    <xdr:from>
      <xdr:col>0</xdr:col>
      <xdr:colOff>38099</xdr:colOff>
      <xdr:row>75</xdr:row>
      <xdr:rowOff>41804</xdr:rowOff>
    </xdr:from>
    <xdr:to>
      <xdr:col>8</xdr:col>
      <xdr:colOff>560916</xdr:colOff>
      <xdr:row>91</xdr:row>
      <xdr:rowOff>158750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xdr:from>
          <xdr:col>7</xdr:col>
          <xdr:colOff>118532</xdr:colOff>
          <xdr:row>75</xdr:row>
          <xdr:rowOff>27516</xdr:rowOff>
        </xdr:from>
        <xdr:to>
          <xdr:col>8</xdr:col>
          <xdr:colOff>366182</xdr:colOff>
          <xdr:row>77</xdr:row>
          <xdr:rowOff>94190</xdr:rowOff>
        </xdr:to>
        <xdr:grpSp>
          <xdr:nvGrpSpPr>
            <xdr:cNvPr id="18" name="Group 17"/>
            <xdr:cNvGrpSpPr/>
          </xdr:nvGrpSpPr>
          <xdr:grpSpPr>
            <a:xfrm>
              <a:off x="5297751" y="14648391"/>
              <a:ext cx="1069181" cy="447674"/>
              <a:chOff x="4305294" y="14649444"/>
              <a:chExt cx="1219203" cy="447606"/>
            </a:xfrm>
          </xdr:grpSpPr>
          <xdr:sp macro="" textlink="">
            <xdr:nvSpPr>
              <xdr:cNvPr id="21513" name="Check Box 9" hidden="1">
                <a:extLst>
                  <a:ext uri="{63B3BB69-23CF-44E3-9099-C40C66FF867C}">
                    <a14:compatExt spid="_x0000_s21513"/>
                  </a:ext>
                </a:extLst>
              </xdr:cNvPr>
              <xdr:cNvSpPr/>
            </xdr:nvSpPr>
            <xdr:spPr bwMode="auto">
              <a:xfrm>
                <a:off x="4305294" y="14649444"/>
                <a:ext cx="1171576"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Longitudinal Stress</a:t>
                </a:r>
              </a:p>
            </xdr:txBody>
          </xdr:sp>
          <xdr:sp macro="" textlink="">
            <xdr:nvSpPr>
              <xdr:cNvPr id="21514" name="Check Box 10" hidden="1">
                <a:extLst>
                  <a:ext uri="{63B3BB69-23CF-44E3-9099-C40C66FF867C}">
                    <a14:compatExt spid="_x0000_s21514"/>
                  </a:ext>
                </a:extLst>
              </xdr:cNvPr>
              <xdr:cNvSpPr/>
            </xdr:nvSpPr>
            <xdr:spPr bwMode="auto">
              <a:xfrm>
                <a:off x="4314821" y="14877977"/>
                <a:ext cx="1209676"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Circumferential Stress</a:t>
                </a:r>
              </a:p>
            </xdr:txBody>
          </xdr:sp>
        </xdr:grpSp>
        <xdr:clientData/>
      </xdr:twoCellAnchor>
    </mc:Choice>
    <mc:Fallback/>
  </mc:AlternateContent>
  <xdr:twoCellAnchor>
    <xdr:from>
      <xdr:col>9</xdr:col>
      <xdr:colOff>17991</xdr:colOff>
      <xdr:row>75</xdr:row>
      <xdr:rowOff>54503</xdr:rowOff>
    </xdr:from>
    <xdr:to>
      <xdr:col>16</xdr:col>
      <xdr:colOff>726281</xdr:colOff>
      <xdr:row>91</xdr:row>
      <xdr:rowOff>144992</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15</xdr:col>
          <xdr:colOff>355598</xdr:colOff>
          <xdr:row>75</xdr:row>
          <xdr:rowOff>31750</xdr:rowOff>
        </xdr:from>
        <xdr:to>
          <xdr:col>16</xdr:col>
          <xdr:colOff>607483</xdr:colOff>
          <xdr:row>77</xdr:row>
          <xdr:rowOff>50800</xdr:rowOff>
        </xdr:to>
        <xdr:grpSp>
          <xdr:nvGrpSpPr>
            <xdr:cNvPr id="22" name="Group 21"/>
            <xdr:cNvGrpSpPr/>
          </xdr:nvGrpSpPr>
          <xdr:grpSpPr>
            <a:xfrm>
              <a:off x="11523661" y="14652625"/>
              <a:ext cx="1847322" cy="400050"/>
              <a:chOff x="10058404" y="15011418"/>
              <a:chExt cx="1409699" cy="399956"/>
            </a:xfrm>
          </xdr:grpSpPr>
          <xdr:sp macro="" textlink="">
            <xdr:nvSpPr>
              <xdr:cNvPr id="21515" name="Check Box 11" hidden="1">
                <a:extLst>
                  <a:ext uri="{63B3BB69-23CF-44E3-9099-C40C66FF867C}">
                    <a14:compatExt spid="_x0000_s21515"/>
                  </a:ext>
                </a:extLst>
              </xdr:cNvPr>
              <xdr:cNvSpPr/>
            </xdr:nvSpPr>
            <xdr:spPr bwMode="auto">
              <a:xfrm>
                <a:off x="10058404" y="15011418"/>
                <a:ext cx="1409699"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Longitudinal Stress</a:t>
                </a:r>
              </a:p>
            </xdr:txBody>
          </xdr:sp>
          <xdr:sp macro="" textlink="">
            <xdr:nvSpPr>
              <xdr:cNvPr id="21516" name="Check Box 12" hidden="1">
                <a:extLst>
                  <a:ext uri="{63B3BB69-23CF-44E3-9099-C40C66FF867C}">
                    <a14:compatExt spid="_x0000_s21516"/>
                  </a:ext>
                </a:extLst>
              </xdr:cNvPr>
              <xdr:cNvSpPr/>
            </xdr:nvSpPr>
            <xdr:spPr bwMode="auto">
              <a:xfrm>
                <a:off x="10058404" y="15230399"/>
                <a:ext cx="10953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Circumferential Stress</a:t>
                </a:r>
              </a:p>
            </xdr:txBody>
          </xdr:sp>
        </xdr:grpSp>
        <xdr:clientData/>
      </xdr:twoCellAnchor>
    </mc:Choice>
    <mc:Fallback/>
  </mc:AlternateContent>
  <xdr:twoCellAnchor editAs="oneCell">
    <xdr:from>
      <xdr:col>1</xdr:col>
      <xdr:colOff>323840</xdr:colOff>
      <xdr:row>33</xdr:row>
      <xdr:rowOff>16934</xdr:rowOff>
    </xdr:from>
    <xdr:to>
      <xdr:col>4</xdr:col>
      <xdr:colOff>201084</xdr:colOff>
      <xdr:row>42</xdr:row>
      <xdr:rowOff>180667</xdr:rowOff>
    </xdr:to>
    <xdr:pic>
      <xdr:nvPicPr>
        <xdr:cNvPr id="25" name="Picture 2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937673" y="6472767"/>
          <a:ext cx="2544244" cy="1878233"/>
        </a:xfrm>
        <a:prstGeom prst="rect">
          <a:avLst/>
        </a:prstGeom>
      </xdr:spPr>
    </xdr:pic>
    <xdr:clientData/>
  </xdr:twoCellAnchor>
  <xdr:twoCellAnchor editAs="oneCell">
    <xdr:from>
      <xdr:col>5</xdr:col>
      <xdr:colOff>102657</xdr:colOff>
      <xdr:row>33</xdr:row>
      <xdr:rowOff>17992</xdr:rowOff>
    </xdr:from>
    <xdr:to>
      <xdr:col>8</xdr:col>
      <xdr:colOff>391583</xdr:colOff>
      <xdr:row>42</xdr:row>
      <xdr:rowOff>182094</xdr:rowOff>
    </xdr:to>
    <xdr:pic>
      <xdr:nvPicPr>
        <xdr:cNvPr id="26" name="Picture 25"/>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997324" y="6473825"/>
          <a:ext cx="2426759" cy="1878602"/>
        </a:xfrm>
        <a:prstGeom prst="rect">
          <a:avLst/>
        </a:prstGeom>
      </xdr:spPr>
    </xdr:pic>
    <xdr:clientData/>
  </xdr:twoCellAnchor>
  <xdr:twoCellAnchor>
    <xdr:from>
      <xdr:col>0</xdr:col>
      <xdr:colOff>31748</xdr:colOff>
      <xdr:row>94</xdr:row>
      <xdr:rowOff>35453</xdr:rowOff>
    </xdr:from>
    <xdr:to>
      <xdr:col>8</xdr:col>
      <xdr:colOff>550331</xdr:colOff>
      <xdr:row>110</xdr:row>
      <xdr:rowOff>137582</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xdr:from>
          <xdr:col>6</xdr:col>
          <xdr:colOff>327024</xdr:colOff>
          <xdr:row>94</xdr:row>
          <xdr:rowOff>11641</xdr:rowOff>
        </xdr:from>
        <xdr:to>
          <xdr:col>8</xdr:col>
          <xdr:colOff>450849</xdr:colOff>
          <xdr:row>96</xdr:row>
          <xdr:rowOff>88899</xdr:rowOff>
        </xdr:to>
        <xdr:grpSp>
          <xdr:nvGrpSpPr>
            <xdr:cNvPr id="28" name="Group 27"/>
            <xdr:cNvGrpSpPr/>
          </xdr:nvGrpSpPr>
          <xdr:grpSpPr>
            <a:xfrm>
              <a:off x="4899024" y="18275829"/>
              <a:ext cx="1552575" cy="458258"/>
              <a:chOff x="6505567" y="18850077"/>
              <a:chExt cx="1685940" cy="447668"/>
            </a:xfrm>
          </xdr:grpSpPr>
          <xdr:sp macro="" textlink="">
            <xdr:nvSpPr>
              <xdr:cNvPr id="21517" name="Check Box 13" hidden="1">
                <a:extLst>
                  <a:ext uri="{63B3BB69-23CF-44E3-9099-C40C66FF867C}">
                    <a14:compatExt spid="_x0000_s21517"/>
                  </a:ext>
                </a:extLst>
              </xdr:cNvPr>
              <xdr:cNvSpPr/>
            </xdr:nvSpPr>
            <xdr:spPr bwMode="auto">
              <a:xfrm>
                <a:off x="6505567" y="18850077"/>
                <a:ext cx="1571623" cy="2095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Circumferential Membrane Stress</a:t>
                </a:r>
              </a:p>
            </xdr:txBody>
          </xdr:sp>
          <xdr:sp macro="" textlink="">
            <xdr:nvSpPr>
              <xdr:cNvPr id="21518" name="Check Box 14" hidden="1">
                <a:extLst>
                  <a:ext uri="{63B3BB69-23CF-44E3-9099-C40C66FF867C}">
                    <a14:compatExt spid="_x0000_s21518"/>
                  </a:ext>
                </a:extLst>
              </xdr:cNvPr>
              <xdr:cNvSpPr/>
            </xdr:nvSpPr>
            <xdr:spPr bwMode="auto">
              <a:xfrm>
                <a:off x="6505579" y="19078669"/>
                <a:ext cx="1685928"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Circumferential Bending Stress</a:t>
                </a:r>
              </a:p>
            </xdr:txBody>
          </xdr:sp>
        </xdr:grpSp>
        <xdr:clientData/>
      </xdr:twoCellAnchor>
    </mc:Choice>
    <mc:Fallback/>
  </mc:AlternateContent>
  <xdr:twoCellAnchor>
    <xdr:from>
      <xdr:col>9</xdr:col>
      <xdr:colOff>38099</xdr:colOff>
      <xdr:row>94</xdr:row>
      <xdr:rowOff>52388</xdr:rowOff>
    </xdr:from>
    <xdr:to>
      <xdr:col>16</xdr:col>
      <xdr:colOff>726282</xdr:colOff>
      <xdr:row>110</xdr:row>
      <xdr:rowOff>148168</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9</xdr:col>
      <xdr:colOff>567268</xdr:colOff>
      <xdr:row>136</xdr:row>
      <xdr:rowOff>166687</xdr:rowOff>
    </xdr:from>
    <xdr:ext cx="561975" cy="204788"/>
    <mc:AlternateContent xmlns:mc="http://schemas.openxmlformats.org/markup-compatibility/2006" xmlns:a14="http://schemas.microsoft.com/office/drawing/2010/main">
      <mc:Choice Requires="a14">
        <xdr:sp macro="" textlink="">
          <xdr:nvSpPr>
            <xdr:cNvPr id="32" name="TextBox 31"/>
            <xdr:cNvSpPr txBox="1"/>
          </xdr:nvSpPr>
          <xdr:spPr>
            <a:xfrm>
              <a:off x="7118351" y="26402770"/>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14:m>
                <m:oMathPara xmlns:m="http://schemas.openxmlformats.org/officeDocument/2006/math">
                  <m:oMathParaPr>
                    <m:jc m:val="left"/>
                  </m:oMathParaPr>
                  <m:oMath xmlns:m="http://schemas.openxmlformats.org/officeDocument/2006/math">
                    <m:sSub>
                      <m:sSubPr>
                        <m:ctrlPr>
                          <a:rPr lang="en-US" sz="1200" i="1">
                            <a:solidFill>
                              <a:srgbClr val="002060"/>
                            </a:solidFill>
                            <a:latin typeface="Cambria Math" panose="02040503050406030204" pitchFamily="18" charset="0"/>
                          </a:rPr>
                        </m:ctrlPr>
                      </m:sSubPr>
                      <m:e>
                        <m:r>
                          <a:rPr lang="en-US" sz="1200" i="1">
                            <a:solidFill>
                              <a:srgbClr val="002060"/>
                            </a:solidFill>
                            <a:latin typeface="Cambria Math"/>
                            <a:ea typeface="Cambria Math"/>
                          </a:rPr>
                          <m:t>𝜏</m:t>
                        </m:r>
                      </m:e>
                      <m:sub>
                        <m:r>
                          <a:rPr lang="en-US" sz="1200" b="0" i="1">
                            <a:solidFill>
                              <a:srgbClr val="002060"/>
                            </a:solidFill>
                            <a:latin typeface="Cambria Math"/>
                          </a:rPr>
                          <m:t>𝑏</m:t>
                        </m:r>
                        <m:r>
                          <a:rPr lang="en-US" sz="1200" b="0" i="1">
                            <a:solidFill>
                              <a:srgbClr val="002060"/>
                            </a:solidFill>
                            <a:latin typeface="Cambria Math"/>
                          </a:rPr>
                          <m:t>−</m:t>
                        </m:r>
                        <m:r>
                          <a:rPr lang="en-US" sz="1200" b="0" i="1">
                            <a:solidFill>
                              <a:srgbClr val="002060"/>
                            </a:solidFill>
                            <a:latin typeface="Cambria Math"/>
                          </a:rPr>
                          <m:t>𝑄𝐺</m:t>
                        </m:r>
                      </m:sub>
                    </m:sSub>
                  </m:oMath>
                </m:oMathPara>
              </a14:m>
              <a:endParaRPr lang="en-US" sz="1100"/>
            </a:p>
          </xdr:txBody>
        </xdr:sp>
      </mc:Choice>
      <mc:Fallback xmlns="">
        <xdr:sp macro="" textlink="">
          <xdr:nvSpPr>
            <xdr:cNvPr id="32" name="TextBox 31"/>
            <xdr:cNvSpPr txBox="1"/>
          </xdr:nvSpPr>
          <xdr:spPr>
            <a:xfrm>
              <a:off x="7118351" y="26402770"/>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r>
                <a:rPr lang="en-US" sz="1200" i="0">
                  <a:solidFill>
                    <a:srgbClr val="002060"/>
                  </a:solidFill>
                  <a:latin typeface="Cambria Math"/>
                  <a:ea typeface="Cambria Math"/>
                </a:rPr>
                <a:t>𝜏_(</a:t>
              </a:r>
              <a:r>
                <a:rPr lang="en-US" sz="1200" b="0" i="0">
                  <a:solidFill>
                    <a:srgbClr val="002060"/>
                  </a:solidFill>
                  <a:latin typeface="Cambria Math"/>
                </a:rPr>
                <a:t>𝑏−𝑄𝐺)</a:t>
              </a:r>
              <a:endParaRPr lang="en-US" sz="1100"/>
            </a:p>
          </xdr:txBody>
        </xdr:sp>
      </mc:Fallback>
    </mc:AlternateContent>
    <xdr:clientData/>
  </xdr:oneCellAnchor>
  <xdr:oneCellAnchor>
    <xdr:from>
      <xdr:col>9</xdr:col>
      <xdr:colOff>567268</xdr:colOff>
      <xdr:row>137</xdr:row>
      <xdr:rowOff>166687</xdr:rowOff>
    </xdr:from>
    <xdr:ext cx="561975" cy="204788"/>
    <mc:AlternateContent xmlns:mc="http://schemas.openxmlformats.org/markup-compatibility/2006" xmlns:a14="http://schemas.microsoft.com/office/drawing/2010/main">
      <mc:Choice Requires="a14">
        <xdr:sp macro="" textlink="">
          <xdr:nvSpPr>
            <xdr:cNvPr id="33" name="TextBox 32"/>
            <xdr:cNvSpPr txBox="1"/>
          </xdr:nvSpPr>
          <xdr:spPr>
            <a:xfrm>
              <a:off x="7118351" y="26593270"/>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14:m>
                <m:oMathPara xmlns:m="http://schemas.openxmlformats.org/officeDocument/2006/math">
                  <m:oMathParaPr>
                    <m:jc m:val="left"/>
                  </m:oMathParaPr>
                  <m:oMath xmlns:m="http://schemas.openxmlformats.org/officeDocument/2006/math">
                    <m:sSub>
                      <m:sSubPr>
                        <m:ctrlPr>
                          <a:rPr lang="en-US" sz="1200" i="1">
                            <a:solidFill>
                              <a:srgbClr val="002060"/>
                            </a:solidFill>
                            <a:latin typeface="Cambria Math" panose="02040503050406030204" pitchFamily="18" charset="0"/>
                          </a:rPr>
                        </m:ctrlPr>
                      </m:sSubPr>
                      <m:e>
                        <m:r>
                          <a:rPr lang="en-US" sz="1200" i="1">
                            <a:solidFill>
                              <a:srgbClr val="002060"/>
                            </a:solidFill>
                            <a:latin typeface="Cambria Math"/>
                            <a:ea typeface="Cambria Math"/>
                          </a:rPr>
                          <m:t>𝜏</m:t>
                        </m:r>
                      </m:e>
                      <m:sub>
                        <m:r>
                          <a:rPr lang="en-US" sz="1200" b="0" i="1">
                            <a:solidFill>
                              <a:srgbClr val="002060"/>
                            </a:solidFill>
                            <a:latin typeface="Cambria Math"/>
                          </a:rPr>
                          <m:t>𝑚</m:t>
                        </m:r>
                        <m:r>
                          <a:rPr lang="en-US" sz="1200" b="0" i="1">
                            <a:solidFill>
                              <a:srgbClr val="002060"/>
                            </a:solidFill>
                            <a:latin typeface="Cambria Math"/>
                          </a:rPr>
                          <m:t>−</m:t>
                        </m:r>
                        <m:r>
                          <a:rPr lang="en-US" sz="1200" b="0" i="1">
                            <a:solidFill>
                              <a:srgbClr val="002060"/>
                            </a:solidFill>
                            <a:latin typeface="Cambria Math"/>
                          </a:rPr>
                          <m:t>𝑄𝐺</m:t>
                        </m:r>
                      </m:sub>
                    </m:sSub>
                  </m:oMath>
                </m:oMathPara>
              </a14:m>
              <a:endParaRPr lang="en-US" sz="1100"/>
            </a:p>
          </xdr:txBody>
        </xdr:sp>
      </mc:Choice>
      <mc:Fallback xmlns="">
        <xdr:sp macro="" textlink="">
          <xdr:nvSpPr>
            <xdr:cNvPr id="33" name="TextBox 32"/>
            <xdr:cNvSpPr txBox="1"/>
          </xdr:nvSpPr>
          <xdr:spPr>
            <a:xfrm>
              <a:off x="7118351" y="26593270"/>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r>
                <a:rPr lang="en-US" sz="1200" i="0">
                  <a:solidFill>
                    <a:srgbClr val="002060"/>
                  </a:solidFill>
                  <a:latin typeface="Cambria Math"/>
                  <a:ea typeface="Cambria Math"/>
                </a:rPr>
                <a:t>𝜏_(</a:t>
              </a:r>
              <a:r>
                <a:rPr lang="en-US" sz="1200" b="0" i="0">
                  <a:solidFill>
                    <a:srgbClr val="002060"/>
                  </a:solidFill>
                  <a:latin typeface="Cambria Math"/>
                </a:rPr>
                <a:t>𝑚−𝑄𝐺)</a:t>
              </a:r>
              <a:endParaRPr lang="en-US" sz="1100"/>
            </a:p>
          </xdr:txBody>
        </xdr:sp>
      </mc:Fallback>
    </mc:AlternateContent>
    <xdr:clientData/>
  </xdr:oneCellAnchor>
  <xdr:oneCellAnchor>
    <xdr:from>
      <xdr:col>13</xdr:col>
      <xdr:colOff>552450</xdr:colOff>
      <xdr:row>136</xdr:row>
      <xdr:rowOff>185737</xdr:rowOff>
    </xdr:from>
    <xdr:ext cx="561975" cy="204788"/>
    <mc:AlternateContent xmlns:mc="http://schemas.openxmlformats.org/markup-compatibility/2006" xmlns:a14="http://schemas.microsoft.com/office/drawing/2010/main">
      <mc:Choice Requires="a14">
        <xdr:sp macro="" textlink="">
          <xdr:nvSpPr>
            <xdr:cNvPr id="34" name="TextBox 33"/>
            <xdr:cNvSpPr txBox="1"/>
          </xdr:nvSpPr>
          <xdr:spPr>
            <a:xfrm>
              <a:off x="10591800" y="26608087"/>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14:m>
                <m:oMathPara xmlns:m="http://schemas.openxmlformats.org/officeDocument/2006/math">
                  <m:oMathParaPr>
                    <m:jc m:val="left"/>
                  </m:oMathParaPr>
                  <m:oMath xmlns:m="http://schemas.openxmlformats.org/officeDocument/2006/math">
                    <m:sSub>
                      <m:sSubPr>
                        <m:ctrlPr>
                          <a:rPr lang="en-US" sz="1200" i="1">
                            <a:solidFill>
                              <a:srgbClr val="002060"/>
                            </a:solidFill>
                            <a:latin typeface="Cambria Math" panose="02040503050406030204" pitchFamily="18" charset="0"/>
                          </a:rPr>
                        </m:ctrlPr>
                      </m:sSubPr>
                      <m:e>
                        <m:r>
                          <a:rPr lang="en-US" sz="1200" i="1">
                            <a:solidFill>
                              <a:srgbClr val="002060"/>
                            </a:solidFill>
                            <a:latin typeface="Cambria Math"/>
                            <a:ea typeface="Cambria Math"/>
                          </a:rPr>
                          <m:t>𝜏</m:t>
                        </m:r>
                      </m:e>
                      <m:sub>
                        <m:r>
                          <a:rPr lang="en-US" sz="1200" b="0" i="1">
                            <a:solidFill>
                              <a:srgbClr val="002060"/>
                            </a:solidFill>
                            <a:latin typeface="Cambria Math"/>
                          </a:rPr>
                          <m:t>𝑏</m:t>
                        </m:r>
                        <m:r>
                          <a:rPr lang="en-US" sz="1200" b="0" i="1">
                            <a:solidFill>
                              <a:srgbClr val="002060"/>
                            </a:solidFill>
                            <a:latin typeface="Cambria Math"/>
                          </a:rPr>
                          <m:t>−</m:t>
                        </m:r>
                        <m:r>
                          <a:rPr lang="en-US" sz="1200" b="0" i="1">
                            <a:solidFill>
                              <a:srgbClr val="002060"/>
                            </a:solidFill>
                            <a:latin typeface="Cambria Math"/>
                          </a:rPr>
                          <m:t>𝑄𝐿</m:t>
                        </m:r>
                      </m:sub>
                    </m:sSub>
                  </m:oMath>
                </m:oMathPara>
              </a14:m>
              <a:endParaRPr lang="en-US" sz="1100"/>
            </a:p>
          </xdr:txBody>
        </xdr:sp>
      </mc:Choice>
      <mc:Fallback xmlns="">
        <xdr:sp macro="" textlink="">
          <xdr:nvSpPr>
            <xdr:cNvPr id="34" name="TextBox 33"/>
            <xdr:cNvSpPr txBox="1"/>
          </xdr:nvSpPr>
          <xdr:spPr>
            <a:xfrm>
              <a:off x="10591800" y="26608087"/>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r>
                <a:rPr lang="en-US" sz="1200" i="0">
                  <a:solidFill>
                    <a:srgbClr val="002060"/>
                  </a:solidFill>
                  <a:latin typeface="Cambria Math"/>
                  <a:ea typeface="Cambria Math"/>
                </a:rPr>
                <a:t>𝜏_(</a:t>
              </a:r>
              <a:r>
                <a:rPr lang="en-US" sz="1200" b="0" i="0">
                  <a:solidFill>
                    <a:srgbClr val="002060"/>
                  </a:solidFill>
                  <a:latin typeface="Cambria Math"/>
                </a:rPr>
                <a:t>𝑏−𝑄𝐿)</a:t>
              </a:r>
              <a:endParaRPr lang="en-US" sz="1100"/>
            </a:p>
          </xdr:txBody>
        </xdr:sp>
      </mc:Fallback>
    </mc:AlternateContent>
    <xdr:clientData/>
  </xdr:oneCellAnchor>
  <xdr:oneCellAnchor>
    <xdr:from>
      <xdr:col>13</xdr:col>
      <xdr:colOff>542925</xdr:colOff>
      <xdr:row>137</xdr:row>
      <xdr:rowOff>176212</xdr:rowOff>
    </xdr:from>
    <xdr:ext cx="561975" cy="204788"/>
    <mc:AlternateContent xmlns:mc="http://schemas.openxmlformats.org/markup-compatibility/2006" xmlns:a14="http://schemas.microsoft.com/office/drawing/2010/main">
      <mc:Choice Requires="a14">
        <xdr:sp macro="" textlink="">
          <xdr:nvSpPr>
            <xdr:cNvPr id="35" name="TextBox 34"/>
            <xdr:cNvSpPr txBox="1"/>
          </xdr:nvSpPr>
          <xdr:spPr>
            <a:xfrm>
              <a:off x="10582275" y="26808112"/>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14:m>
                <m:oMathPara xmlns:m="http://schemas.openxmlformats.org/officeDocument/2006/math">
                  <m:oMathParaPr>
                    <m:jc m:val="left"/>
                  </m:oMathParaPr>
                  <m:oMath xmlns:m="http://schemas.openxmlformats.org/officeDocument/2006/math">
                    <m:sSub>
                      <m:sSubPr>
                        <m:ctrlPr>
                          <a:rPr lang="en-US" sz="1200" i="1">
                            <a:solidFill>
                              <a:srgbClr val="002060"/>
                            </a:solidFill>
                            <a:latin typeface="Cambria Math" panose="02040503050406030204" pitchFamily="18" charset="0"/>
                          </a:rPr>
                        </m:ctrlPr>
                      </m:sSubPr>
                      <m:e>
                        <m:r>
                          <a:rPr lang="en-US" sz="1200" i="1">
                            <a:solidFill>
                              <a:srgbClr val="002060"/>
                            </a:solidFill>
                            <a:latin typeface="Cambria Math"/>
                            <a:ea typeface="Cambria Math"/>
                          </a:rPr>
                          <m:t>𝜏</m:t>
                        </m:r>
                      </m:e>
                      <m:sub>
                        <m:r>
                          <a:rPr lang="en-US" sz="1200" b="0" i="1">
                            <a:solidFill>
                              <a:srgbClr val="002060"/>
                            </a:solidFill>
                            <a:latin typeface="Cambria Math"/>
                          </a:rPr>
                          <m:t>𝑚</m:t>
                        </m:r>
                        <m:r>
                          <a:rPr lang="en-US" sz="1200" b="0" i="1">
                            <a:solidFill>
                              <a:srgbClr val="002060"/>
                            </a:solidFill>
                            <a:latin typeface="Cambria Math"/>
                          </a:rPr>
                          <m:t>−</m:t>
                        </m:r>
                        <m:r>
                          <a:rPr lang="en-US" sz="1200" b="0" i="1">
                            <a:solidFill>
                              <a:srgbClr val="002060"/>
                            </a:solidFill>
                            <a:latin typeface="Cambria Math"/>
                          </a:rPr>
                          <m:t>𝑄𝐿</m:t>
                        </m:r>
                      </m:sub>
                    </m:sSub>
                  </m:oMath>
                </m:oMathPara>
              </a14:m>
              <a:endParaRPr lang="en-US" sz="1100"/>
            </a:p>
          </xdr:txBody>
        </xdr:sp>
      </mc:Choice>
      <mc:Fallback xmlns="">
        <xdr:sp macro="" textlink="">
          <xdr:nvSpPr>
            <xdr:cNvPr id="35" name="TextBox 34"/>
            <xdr:cNvSpPr txBox="1"/>
          </xdr:nvSpPr>
          <xdr:spPr>
            <a:xfrm>
              <a:off x="10582275" y="26808112"/>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r>
                <a:rPr lang="en-US" sz="1200" i="0">
                  <a:solidFill>
                    <a:srgbClr val="002060"/>
                  </a:solidFill>
                  <a:latin typeface="Cambria Math"/>
                  <a:ea typeface="Cambria Math"/>
                </a:rPr>
                <a:t>𝜏_(</a:t>
              </a:r>
              <a:r>
                <a:rPr lang="en-US" sz="1200" b="0" i="0">
                  <a:solidFill>
                    <a:srgbClr val="002060"/>
                  </a:solidFill>
                  <a:latin typeface="Cambria Math"/>
                </a:rPr>
                <a:t>𝑚−𝑄𝐿)</a:t>
              </a:r>
              <a:endParaRPr lang="en-US" sz="1100"/>
            </a:p>
          </xdr:txBody>
        </xdr:sp>
      </mc:Fallback>
    </mc:AlternateContent>
    <xdr:clientData/>
  </xdr:oneCellAnchor>
  <xdr:oneCellAnchor>
    <xdr:from>
      <xdr:col>3</xdr:col>
      <xdr:colOff>1382162</xdr:colOff>
      <xdr:row>143</xdr:row>
      <xdr:rowOff>52387</xdr:rowOff>
    </xdr:from>
    <xdr:ext cx="561975" cy="204788"/>
    <mc:AlternateContent xmlns:mc="http://schemas.openxmlformats.org/markup-compatibility/2006" xmlns:a14="http://schemas.microsoft.com/office/drawing/2010/main">
      <mc:Choice Requires="a14">
        <xdr:sp macro="" textlink="">
          <xdr:nvSpPr>
            <xdr:cNvPr id="36" name="TextBox 35"/>
            <xdr:cNvSpPr txBox="1"/>
          </xdr:nvSpPr>
          <xdr:spPr>
            <a:xfrm>
              <a:off x="3223662" y="27621970"/>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14:m>
                <m:oMathPara xmlns:m="http://schemas.openxmlformats.org/officeDocument/2006/math">
                  <m:oMathParaPr>
                    <m:jc m:val="left"/>
                  </m:oMathParaPr>
                  <m:oMath xmlns:m="http://schemas.openxmlformats.org/officeDocument/2006/math">
                    <m:sSub>
                      <m:sSubPr>
                        <m:ctrlPr>
                          <a:rPr lang="en-US" sz="1200" i="1">
                            <a:solidFill>
                              <a:srgbClr val="002060"/>
                            </a:solidFill>
                            <a:latin typeface="Cambria Math" panose="02040503050406030204" pitchFamily="18" charset="0"/>
                          </a:rPr>
                        </m:ctrlPr>
                      </m:sSubPr>
                      <m:e>
                        <m:r>
                          <a:rPr lang="en-US" sz="1200" i="1">
                            <a:solidFill>
                              <a:srgbClr val="002060"/>
                            </a:solidFill>
                            <a:latin typeface="Cambria Math"/>
                            <a:ea typeface="Cambria Math"/>
                          </a:rPr>
                          <m:t>𝜏</m:t>
                        </m:r>
                      </m:e>
                      <m:sub>
                        <m:r>
                          <a:rPr lang="en-US" sz="1200" b="0" i="1">
                            <a:solidFill>
                              <a:srgbClr val="002060"/>
                            </a:solidFill>
                            <a:latin typeface="Cambria Math"/>
                          </a:rPr>
                          <m:t>𝑚</m:t>
                        </m:r>
                        <m:r>
                          <a:rPr lang="en-US" sz="1200" b="0" i="1">
                            <a:solidFill>
                              <a:srgbClr val="002060"/>
                            </a:solidFill>
                            <a:latin typeface="Cambria Math"/>
                          </a:rPr>
                          <m:t>−</m:t>
                        </m:r>
                        <m:r>
                          <a:rPr lang="en-US" sz="1200" b="0" i="1">
                            <a:solidFill>
                              <a:srgbClr val="002060"/>
                            </a:solidFill>
                            <a:latin typeface="Cambria Math"/>
                          </a:rPr>
                          <m:t>𝑃𝐿</m:t>
                        </m:r>
                      </m:sub>
                    </m:sSub>
                  </m:oMath>
                </m:oMathPara>
              </a14:m>
              <a:endParaRPr lang="en-US" sz="1100"/>
            </a:p>
          </xdr:txBody>
        </xdr:sp>
      </mc:Choice>
      <mc:Fallback xmlns="">
        <xdr:sp macro="" textlink="">
          <xdr:nvSpPr>
            <xdr:cNvPr id="36" name="TextBox 35"/>
            <xdr:cNvSpPr txBox="1"/>
          </xdr:nvSpPr>
          <xdr:spPr>
            <a:xfrm>
              <a:off x="3223662" y="27621970"/>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r>
                <a:rPr lang="en-US" sz="1200" i="0">
                  <a:solidFill>
                    <a:srgbClr val="002060"/>
                  </a:solidFill>
                  <a:latin typeface="Cambria Math"/>
                  <a:ea typeface="Cambria Math"/>
                </a:rPr>
                <a:t>𝜏_(</a:t>
              </a:r>
              <a:r>
                <a:rPr lang="en-US" sz="1200" b="0" i="0">
                  <a:solidFill>
                    <a:srgbClr val="002060"/>
                  </a:solidFill>
                  <a:latin typeface="Cambria Math"/>
                </a:rPr>
                <a:t>𝑚−𝑃𝐿)</a:t>
              </a:r>
              <a:endParaRPr lang="en-US" sz="1100"/>
            </a:p>
          </xdr:txBody>
        </xdr:sp>
      </mc:Fallback>
    </mc:AlternateContent>
    <xdr:clientData/>
  </xdr:oneCellAnchor>
  <xdr:oneCellAnchor>
    <xdr:from>
      <xdr:col>3</xdr:col>
      <xdr:colOff>1370537</xdr:colOff>
      <xdr:row>137</xdr:row>
      <xdr:rowOff>51329</xdr:rowOff>
    </xdr:from>
    <xdr:ext cx="947208" cy="223838"/>
    <mc:AlternateContent xmlns:mc="http://schemas.openxmlformats.org/markup-compatibility/2006" xmlns:a14="http://schemas.microsoft.com/office/drawing/2010/main">
      <mc:Choice Requires="a14">
        <xdr:sp macro="" textlink="">
          <xdr:nvSpPr>
            <xdr:cNvPr id="37" name="TextBox 36"/>
            <xdr:cNvSpPr txBox="1"/>
          </xdr:nvSpPr>
          <xdr:spPr>
            <a:xfrm>
              <a:off x="3212037" y="26477912"/>
              <a:ext cx="947208" cy="223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14:m>
                <m:oMath xmlns:m="http://schemas.openxmlformats.org/officeDocument/2006/math">
                  <m:sSub>
                    <m:sSubPr>
                      <m:ctrlPr>
                        <a:rPr lang="en-US" sz="1200" i="1">
                          <a:solidFill>
                            <a:srgbClr val="002060"/>
                          </a:solidFill>
                          <a:latin typeface="Cambria Math" panose="02040503050406030204" pitchFamily="18" charset="0"/>
                        </a:rPr>
                      </m:ctrlPr>
                    </m:sSubPr>
                    <m:e>
                      <m:r>
                        <a:rPr lang="en-US" sz="1200" i="1">
                          <a:solidFill>
                            <a:srgbClr val="002060"/>
                          </a:solidFill>
                          <a:latin typeface="Cambria Math"/>
                          <a:ea typeface="Cambria Math"/>
                        </a:rPr>
                        <m:t>𝜏</m:t>
                      </m:r>
                    </m:e>
                    <m:sub>
                      <m:r>
                        <a:rPr lang="en-US" sz="1200" b="0" i="1">
                          <a:solidFill>
                            <a:srgbClr val="002060"/>
                          </a:solidFill>
                          <a:latin typeface="Cambria Math"/>
                        </a:rPr>
                        <m:t>𝑏</m:t>
                      </m:r>
                      <m:r>
                        <a:rPr lang="en-US" sz="1200" b="0" i="1">
                          <a:solidFill>
                            <a:srgbClr val="002060"/>
                          </a:solidFill>
                          <a:latin typeface="Cambria Math"/>
                        </a:rPr>
                        <m:t>−</m:t>
                      </m:r>
                      <m:r>
                        <a:rPr lang="en-US" sz="1200" b="0" i="1">
                          <a:solidFill>
                            <a:srgbClr val="002060"/>
                          </a:solidFill>
                          <a:latin typeface="Cambria Math"/>
                        </a:rPr>
                        <m:t>𝑄𝑏</m:t>
                      </m:r>
                      <m:r>
                        <a:rPr lang="en-US" sz="1200" b="0" i="1">
                          <a:solidFill>
                            <a:srgbClr val="002060"/>
                          </a:solidFill>
                          <a:latin typeface="Cambria Math"/>
                        </a:rPr>
                        <m:t>_</m:t>
                      </m:r>
                      <m:r>
                        <a:rPr lang="en-US" sz="1200" b="0" i="1">
                          <a:solidFill>
                            <a:srgbClr val="002060"/>
                          </a:solidFill>
                          <a:latin typeface="Cambria Math"/>
                        </a:rPr>
                        <m:t>𝑃𝑟𝑖𝑚𝑎𝑟𝑦</m:t>
                      </m:r>
                    </m:sub>
                  </m:sSub>
                </m:oMath>
              </a14:m>
              <a:r>
                <a:rPr lang="en-US" sz="1100"/>
                <a:t> </a:t>
              </a:r>
            </a:p>
          </xdr:txBody>
        </xdr:sp>
      </mc:Choice>
      <mc:Fallback xmlns="">
        <xdr:sp macro="" textlink="">
          <xdr:nvSpPr>
            <xdr:cNvPr id="37" name="TextBox 36"/>
            <xdr:cNvSpPr txBox="1"/>
          </xdr:nvSpPr>
          <xdr:spPr>
            <a:xfrm>
              <a:off x="3212037" y="26477912"/>
              <a:ext cx="947208" cy="223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r>
                <a:rPr lang="en-US" sz="1200" i="0">
                  <a:solidFill>
                    <a:srgbClr val="002060"/>
                  </a:solidFill>
                  <a:latin typeface="Cambria Math"/>
                  <a:ea typeface="Cambria Math"/>
                </a:rPr>
                <a:t>𝜏_(</a:t>
              </a:r>
              <a:r>
                <a:rPr lang="en-US" sz="1200" b="0" i="0">
                  <a:solidFill>
                    <a:srgbClr val="002060"/>
                  </a:solidFill>
                  <a:latin typeface="Cambria Math"/>
                </a:rPr>
                <a:t>𝑏−𝑄𝑏_𝑃𝑟𝑖𝑚𝑎𝑟𝑦)</a:t>
              </a:r>
              <a:r>
                <a:rPr lang="en-US" sz="1100"/>
                <a:t> </a:t>
              </a:r>
            </a:p>
          </xdr:txBody>
        </xdr:sp>
      </mc:Fallback>
    </mc:AlternateContent>
    <xdr:clientData/>
  </xdr:oneCellAnchor>
  <xdr:oneCellAnchor>
    <xdr:from>
      <xdr:col>9</xdr:col>
      <xdr:colOff>567268</xdr:colOff>
      <xdr:row>143</xdr:row>
      <xdr:rowOff>71437</xdr:rowOff>
    </xdr:from>
    <xdr:ext cx="561975" cy="204788"/>
    <mc:AlternateContent xmlns:mc="http://schemas.openxmlformats.org/markup-compatibility/2006" xmlns:a14="http://schemas.microsoft.com/office/drawing/2010/main">
      <mc:Choice Requires="a14">
        <xdr:sp macro="" textlink="">
          <xdr:nvSpPr>
            <xdr:cNvPr id="38" name="TextBox 37"/>
            <xdr:cNvSpPr txBox="1"/>
          </xdr:nvSpPr>
          <xdr:spPr>
            <a:xfrm>
              <a:off x="7118351" y="27641020"/>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14:m>
                <m:oMathPara xmlns:m="http://schemas.openxmlformats.org/officeDocument/2006/math">
                  <m:oMathParaPr>
                    <m:jc m:val="left"/>
                  </m:oMathParaPr>
                  <m:oMath xmlns:m="http://schemas.openxmlformats.org/officeDocument/2006/math">
                    <m:sSub>
                      <m:sSubPr>
                        <m:ctrlPr>
                          <a:rPr lang="en-US" sz="1200" i="1">
                            <a:solidFill>
                              <a:srgbClr val="002060"/>
                            </a:solidFill>
                            <a:latin typeface="Cambria Math" panose="02040503050406030204" pitchFamily="18" charset="0"/>
                          </a:rPr>
                        </m:ctrlPr>
                      </m:sSubPr>
                      <m:e>
                        <m:r>
                          <a:rPr lang="en-US" sz="1200" i="1">
                            <a:solidFill>
                              <a:srgbClr val="002060"/>
                            </a:solidFill>
                            <a:latin typeface="Cambria Math"/>
                            <a:ea typeface="Cambria Math"/>
                          </a:rPr>
                          <m:t>𝜏</m:t>
                        </m:r>
                      </m:e>
                      <m:sub>
                        <m:r>
                          <a:rPr lang="en-US" sz="1200" b="0" i="1">
                            <a:solidFill>
                              <a:srgbClr val="002060"/>
                            </a:solidFill>
                            <a:latin typeface="Cambria Math"/>
                          </a:rPr>
                          <m:t>𝑄𝐺</m:t>
                        </m:r>
                      </m:sub>
                    </m:sSub>
                  </m:oMath>
                </m:oMathPara>
              </a14:m>
              <a:endParaRPr lang="en-US" sz="1100"/>
            </a:p>
          </xdr:txBody>
        </xdr:sp>
      </mc:Choice>
      <mc:Fallback xmlns="">
        <xdr:sp macro="" textlink="">
          <xdr:nvSpPr>
            <xdr:cNvPr id="38" name="TextBox 37"/>
            <xdr:cNvSpPr txBox="1"/>
          </xdr:nvSpPr>
          <xdr:spPr>
            <a:xfrm>
              <a:off x="7118351" y="27641020"/>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r>
                <a:rPr lang="en-US" sz="1200" i="0">
                  <a:solidFill>
                    <a:srgbClr val="002060"/>
                  </a:solidFill>
                  <a:latin typeface="Cambria Math"/>
                  <a:ea typeface="Cambria Math"/>
                </a:rPr>
                <a:t>𝜏_</a:t>
              </a:r>
              <a:r>
                <a:rPr lang="en-US" sz="1200" b="0" i="0">
                  <a:solidFill>
                    <a:srgbClr val="002060"/>
                  </a:solidFill>
                  <a:latin typeface="Cambria Math"/>
                </a:rPr>
                <a:t>𝑄𝐺</a:t>
              </a:r>
              <a:endParaRPr lang="en-US" sz="1100"/>
            </a:p>
          </xdr:txBody>
        </xdr:sp>
      </mc:Fallback>
    </mc:AlternateContent>
    <xdr:clientData/>
  </xdr:oneCellAnchor>
  <xdr:oneCellAnchor>
    <xdr:from>
      <xdr:col>13</xdr:col>
      <xdr:colOff>553508</xdr:colOff>
      <xdr:row>143</xdr:row>
      <xdr:rowOff>71437</xdr:rowOff>
    </xdr:from>
    <xdr:ext cx="561975" cy="204788"/>
    <mc:AlternateContent xmlns:mc="http://schemas.openxmlformats.org/markup-compatibility/2006" xmlns:a14="http://schemas.microsoft.com/office/drawing/2010/main">
      <mc:Choice Requires="a14">
        <xdr:sp macro="" textlink="">
          <xdr:nvSpPr>
            <xdr:cNvPr id="39" name="TextBox 38"/>
            <xdr:cNvSpPr txBox="1"/>
          </xdr:nvSpPr>
          <xdr:spPr>
            <a:xfrm>
              <a:off x="10258425" y="27641020"/>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14:m>
                <m:oMathPara xmlns:m="http://schemas.openxmlformats.org/officeDocument/2006/math">
                  <m:oMathParaPr>
                    <m:jc m:val="left"/>
                  </m:oMathParaPr>
                  <m:oMath xmlns:m="http://schemas.openxmlformats.org/officeDocument/2006/math">
                    <m:sSub>
                      <m:sSubPr>
                        <m:ctrlPr>
                          <a:rPr lang="en-US" sz="1200" i="1">
                            <a:solidFill>
                              <a:srgbClr val="002060"/>
                            </a:solidFill>
                            <a:latin typeface="Cambria Math" panose="02040503050406030204" pitchFamily="18" charset="0"/>
                          </a:rPr>
                        </m:ctrlPr>
                      </m:sSubPr>
                      <m:e>
                        <m:r>
                          <a:rPr lang="en-US" sz="1200" i="1">
                            <a:solidFill>
                              <a:srgbClr val="002060"/>
                            </a:solidFill>
                            <a:latin typeface="Cambria Math"/>
                            <a:ea typeface="Cambria Math"/>
                          </a:rPr>
                          <m:t>𝜏</m:t>
                        </m:r>
                      </m:e>
                      <m:sub>
                        <m:r>
                          <a:rPr lang="en-US" sz="1200" b="0" i="1">
                            <a:solidFill>
                              <a:srgbClr val="002060"/>
                            </a:solidFill>
                            <a:latin typeface="Cambria Math"/>
                          </a:rPr>
                          <m:t>𝑄𝐿</m:t>
                        </m:r>
                      </m:sub>
                    </m:sSub>
                  </m:oMath>
                </m:oMathPara>
              </a14:m>
              <a:endParaRPr lang="en-US" sz="1100"/>
            </a:p>
          </xdr:txBody>
        </xdr:sp>
      </mc:Choice>
      <mc:Fallback xmlns="">
        <xdr:sp macro="" textlink="">
          <xdr:nvSpPr>
            <xdr:cNvPr id="39" name="TextBox 38"/>
            <xdr:cNvSpPr txBox="1"/>
          </xdr:nvSpPr>
          <xdr:spPr>
            <a:xfrm>
              <a:off x="10258425" y="27641020"/>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r>
                <a:rPr lang="en-US" sz="1200" i="0">
                  <a:solidFill>
                    <a:srgbClr val="002060"/>
                  </a:solidFill>
                  <a:latin typeface="Cambria Math"/>
                  <a:ea typeface="Cambria Math"/>
                </a:rPr>
                <a:t>𝜏_</a:t>
              </a:r>
              <a:r>
                <a:rPr lang="en-US" sz="1200" b="0" i="0">
                  <a:solidFill>
                    <a:srgbClr val="002060"/>
                  </a:solidFill>
                  <a:latin typeface="Cambria Math"/>
                </a:rPr>
                <a:t>𝑄𝐿</a:t>
              </a:r>
              <a:endParaRPr lang="en-US" sz="1100"/>
            </a:p>
          </xdr:txBody>
        </xdr:sp>
      </mc:Fallback>
    </mc:AlternateContent>
    <xdr:clientData/>
  </xdr:oneCellAnchor>
  <xdr:twoCellAnchor editAs="oneCell">
    <xdr:from>
      <xdr:col>1</xdr:col>
      <xdr:colOff>253995</xdr:colOff>
      <xdr:row>145</xdr:row>
      <xdr:rowOff>63498</xdr:rowOff>
    </xdr:from>
    <xdr:to>
      <xdr:col>3</xdr:col>
      <xdr:colOff>666750</xdr:colOff>
      <xdr:row>153</xdr:row>
      <xdr:rowOff>148170</xdr:rowOff>
    </xdr:to>
    <xdr:pic>
      <xdr:nvPicPr>
        <xdr:cNvPr id="40" name="Picture 39"/>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867828" y="28014081"/>
          <a:ext cx="1640422" cy="1608672"/>
        </a:xfrm>
        <a:prstGeom prst="rect">
          <a:avLst/>
        </a:prstGeom>
      </xdr:spPr>
    </xdr:pic>
    <xdr:clientData/>
  </xdr:twoCellAnchor>
  <xdr:twoCellAnchor editAs="oneCell">
    <xdr:from>
      <xdr:col>4</xdr:col>
      <xdr:colOff>169330</xdr:colOff>
      <xdr:row>145</xdr:row>
      <xdr:rowOff>42332</xdr:rowOff>
    </xdr:from>
    <xdr:to>
      <xdr:col>6</xdr:col>
      <xdr:colOff>359830</xdr:colOff>
      <xdr:row>153</xdr:row>
      <xdr:rowOff>159886</xdr:rowOff>
    </xdr:to>
    <xdr:pic>
      <xdr:nvPicPr>
        <xdr:cNvPr id="41" name="Picture 40"/>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450163" y="27992915"/>
          <a:ext cx="1513417" cy="1641554"/>
        </a:xfrm>
        <a:prstGeom prst="rect">
          <a:avLst/>
        </a:prstGeom>
      </xdr:spPr>
    </xdr:pic>
    <xdr:clientData/>
  </xdr:twoCellAnchor>
  <xdr:twoCellAnchor editAs="oneCell">
    <xdr:from>
      <xdr:col>7</xdr:col>
      <xdr:colOff>275162</xdr:colOff>
      <xdr:row>145</xdr:row>
      <xdr:rowOff>52916</xdr:rowOff>
    </xdr:from>
    <xdr:to>
      <xdr:col>9</xdr:col>
      <xdr:colOff>349249</xdr:colOff>
      <xdr:row>153</xdr:row>
      <xdr:rowOff>157561</xdr:rowOff>
    </xdr:to>
    <xdr:pic>
      <xdr:nvPicPr>
        <xdr:cNvPr id="42" name="Picture 41"/>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492745" y="28003499"/>
          <a:ext cx="1502837" cy="1628645"/>
        </a:xfrm>
        <a:prstGeom prst="rect">
          <a:avLst/>
        </a:prstGeom>
      </xdr:spPr>
    </xdr:pic>
    <xdr:clientData/>
  </xdr:twoCellAnchor>
  <xdr:twoCellAnchor editAs="oneCell">
    <xdr:from>
      <xdr:col>10</xdr:col>
      <xdr:colOff>709070</xdr:colOff>
      <xdr:row>145</xdr:row>
      <xdr:rowOff>21166</xdr:rowOff>
    </xdr:from>
    <xdr:to>
      <xdr:col>12</xdr:col>
      <xdr:colOff>444494</xdr:colOff>
      <xdr:row>153</xdr:row>
      <xdr:rowOff>180977</xdr:rowOff>
    </xdr:to>
    <xdr:pic>
      <xdr:nvPicPr>
        <xdr:cNvPr id="43" name="Picture 42"/>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7969237" y="27971749"/>
          <a:ext cx="1661590" cy="1683811"/>
        </a:xfrm>
        <a:prstGeom prst="rect">
          <a:avLst/>
        </a:prstGeom>
      </xdr:spPr>
    </xdr:pic>
    <xdr:clientData/>
  </xdr:twoCellAnchor>
  <xdr:twoCellAnchor editAs="oneCell">
    <xdr:from>
      <xdr:col>14</xdr:col>
      <xdr:colOff>518583</xdr:colOff>
      <xdr:row>145</xdr:row>
      <xdr:rowOff>21166</xdr:rowOff>
    </xdr:from>
    <xdr:to>
      <xdr:col>15</xdr:col>
      <xdr:colOff>1367896</xdr:colOff>
      <xdr:row>153</xdr:row>
      <xdr:rowOff>171950</xdr:rowOff>
    </xdr:to>
    <xdr:pic>
      <xdr:nvPicPr>
        <xdr:cNvPr id="44" name="Picture 43"/>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10847916" y="27971749"/>
          <a:ext cx="1460501" cy="1674784"/>
        </a:xfrm>
        <a:prstGeom prst="rect">
          <a:avLst/>
        </a:prstGeom>
      </xdr:spPr>
    </xdr:pic>
    <xdr:clientData/>
  </xdr:twoCellAnchor>
  <xdr:oneCellAnchor>
    <xdr:from>
      <xdr:col>9</xdr:col>
      <xdr:colOff>578911</xdr:colOff>
      <xdr:row>157</xdr:row>
      <xdr:rowOff>169334</xdr:rowOff>
    </xdr:from>
    <xdr:ext cx="561975" cy="204788"/>
    <mc:AlternateContent xmlns:mc="http://schemas.openxmlformats.org/markup-compatibility/2006" xmlns:a14="http://schemas.microsoft.com/office/drawing/2010/main">
      <mc:Choice Requires="a14">
        <xdr:sp macro="" textlink="">
          <xdr:nvSpPr>
            <xdr:cNvPr id="45" name="TextBox 44"/>
            <xdr:cNvSpPr txBox="1"/>
          </xdr:nvSpPr>
          <xdr:spPr>
            <a:xfrm>
              <a:off x="7225244" y="30405917"/>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14:m>
                <m:oMathPara xmlns:m="http://schemas.openxmlformats.org/officeDocument/2006/math">
                  <m:oMathParaPr>
                    <m:jc m:val="left"/>
                  </m:oMathParaPr>
                  <m:oMath xmlns:m="http://schemas.openxmlformats.org/officeDocument/2006/math">
                    <m:sSub>
                      <m:sSubPr>
                        <m:ctrlPr>
                          <a:rPr lang="en-US" sz="1200" i="1">
                            <a:solidFill>
                              <a:srgbClr val="002060"/>
                            </a:solidFill>
                            <a:latin typeface="Cambria Math" panose="02040503050406030204" pitchFamily="18" charset="0"/>
                          </a:rPr>
                        </m:ctrlPr>
                      </m:sSubPr>
                      <m:e>
                        <m:r>
                          <a:rPr lang="en-US" sz="1200" i="1">
                            <a:solidFill>
                              <a:srgbClr val="002060"/>
                            </a:solidFill>
                            <a:latin typeface="Cambria Math"/>
                            <a:ea typeface="Cambria Math"/>
                          </a:rPr>
                          <m:t>𝜏</m:t>
                        </m:r>
                      </m:e>
                      <m:sub>
                        <m:r>
                          <a:rPr lang="en-US" sz="1200" b="0" i="1">
                            <a:solidFill>
                              <a:srgbClr val="002060"/>
                            </a:solidFill>
                            <a:latin typeface="Cambria Math"/>
                          </a:rPr>
                          <m:t>𝑏</m:t>
                        </m:r>
                        <m:r>
                          <a:rPr lang="en-US" sz="1200" b="0" i="1">
                            <a:solidFill>
                              <a:srgbClr val="002060"/>
                            </a:solidFill>
                            <a:latin typeface="Cambria Math"/>
                          </a:rPr>
                          <m:t>−</m:t>
                        </m:r>
                        <m:r>
                          <a:rPr lang="en-US" sz="1200" b="0" i="1">
                            <a:solidFill>
                              <a:srgbClr val="002060"/>
                            </a:solidFill>
                            <a:latin typeface="Cambria Math"/>
                          </a:rPr>
                          <m:t>𝑄𝐺</m:t>
                        </m:r>
                      </m:sub>
                    </m:sSub>
                  </m:oMath>
                </m:oMathPara>
              </a14:m>
              <a:endParaRPr lang="en-US" sz="1100"/>
            </a:p>
          </xdr:txBody>
        </xdr:sp>
      </mc:Choice>
      <mc:Fallback xmlns="">
        <xdr:sp macro="" textlink="">
          <xdr:nvSpPr>
            <xdr:cNvPr id="45" name="TextBox 44"/>
            <xdr:cNvSpPr txBox="1"/>
          </xdr:nvSpPr>
          <xdr:spPr>
            <a:xfrm>
              <a:off x="7225244" y="30405917"/>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r>
                <a:rPr lang="en-US" sz="1200" i="0">
                  <a:solidFill>
                    <a:srgbClr val="002060"/>
                  </a:solidFill>
                  <a:latin typeface="Cambria Math"/>
                  <a:ea typeface="Cambria Math"/>
                </a:rPr>
                <a:t>𝜏_(</a:t>
              </a:r>
              <a:r>
                <a:rPr lang="en-US" sz="1200" b="0" i="0">
                  <a:solidFill>
                    <a:srgbClr val="002060"/>
                  </a:solidFill>
                  <a:latin typeface="Cambria Math"/>
                </a:rPr>
                <a:t>𝑏−𝑄𝐺)</a:t>
              </a:r>
              <a:endParaRPr lang="en-US" sz="1100"/>
            </a:p>
          </xdr:txBody>
        </xdr:sp>
      </mc:Fallback>
    </mc:AlternateContent>
    <xdr:clientData/>
  </xdr:oneCellAnchor>
  <xdr:oneCellAnchor>
    <xdr:from>
      <xdr:col>9</xdr:col>
      <xdr:colOff>578911</xdr:colOff>
      <xdr:row>158</xdr:row>
      <xdr:rowOff>179929</xdr:rowOff>
    </xdr:from>
    <xdr:ext cx="561975" cy="204788"/>
    <mc:AlternateContent xmlns:mc="http://schemas.openxmlformats.org/markup-compatibility/2006" xmlns:a14="http://schemas.microsoft.com/office/drawing/2010/main">
      <mc:Choice Requires="a14">
        <xdr:sp macro="" textlink="">
          <xdr:nvSpPr>
            <xdr:cNvPr id="46" name="TextBox 45"/>
            <xdr:cNvSpPr txBox="1"/>
          </xdr:nvSpPr>
          <xdr:spPr>
            <a:xfrm>
              <a:off x="7225244" y="30607012"/>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14:m>
                <m:oMathPara xmlns:m="http://schemas.openxmlformats.org/officeDocument/2006/math">
                  <m:oMathParaPr>
                    <m:jc m:val="left"/>
                  </m:oMathParaPr>
                  <m:oMath xmlns:m="http://schemas.openxmlformats.org/officeDocument/2006/math">
                    <m:sSub>
                      <m:sSubPr>
                        <m:ctrlPr>
                          <a:rPr lang="en-US" sz="1200" i="1">
                            <a:solidFill>
                              <a:srgbClr val="002060"/>
                            </a:solidFill>
                            <a:latin typeface="Cambria Math" panose="02040503050406030204" pitchFamily="18" charset="0"/>
                          </a:rPr>
                        </m:ctrlPr>
                      </m:sSubPr>
                      <m:e>
                        <m:r>
                          <a:rPr lang="en-US" sz="1200" i="1">
                            <a:solidFill>
                              <a:srgbClr val="002060"/>
                            </a:solidFill>
                            <a:latin typeface="Cambria Math"/>
                            <a:ea typeface="Cambria Math"/>
                          </a:rPr>
                          <m:t>𝜏</m:t>
                        </m:r>
                      </m:e>
                      <m:sub>
                        <m:r>
                          <a:rPr lang="en-US" sz="1200" b="0" i="1">
                            <a:solidFill>
                              <a:srgbClr val="002060"/>
                            </a:solidFill>
                            <a:latin typeface="Cambria Math"/>
                          </a:rPr>
                          <m:t>𝑚</m:t>
                        </m:r>
                        <m:r>
                          <a:rPr lang="en-US" sz="1200" b="0" i="1">
                            <a:solidFill>
                              <a:srgbClr val="002060"/>
                            </a:solidFill>
                            <a:latin typeface="Cambria Math"/>
                          </a:rPr>
                          <m:t>−</m:t>
                        </m:r>
                        <m:r>
                          <a:rPr lang="en-US" sz="1200" b="0" i="1">
                            <a:solidFill>
                              <a:srgbClr val="002060"/>
                            </a:solidFill>
                            <a:latin typeface="Cambria Math"/>
                          </a:rPr>
                          <m:t>𝑄𝐺</m:t>
                        </m:r>
                      </m:sub>
                    </m:sSub>
                  </m:oMath>
                </m:oMathPara>
              </a14:m>
              <a:endParaRPr lang="en-US" sz="1100"/>
            </a:p>
          </xdr:txBody>
        </xdr:sp>
      </mc:Choice>
      <mc:Fallback xmlns="">
        <xdr:sp macro="" textlink="">
          <xdr:nvSpPr>
            <xdr:cNvPr id="46" name="TextBox 45"/>
            <xdr:cNvSpPr txBox="1"/>
          </xdr:nvSpPr>
          <xdr:spPr>
            <a:xfrm>
              <a:off x="7225244" y="30607012"/>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r>
                <a:rPr lang="en-US" sz="1200" i="0">
                  <a:solidFill>
                    <a:srgbClr val="002060"/>
                  </a:solidFill>
                  <a:latin typeface="Cambria Math"/>
                  <a:ea typeface="Cambria Math"/>
                </a:rPr>
                <a:t>𝜏_(</a:t>
              </a:r>
              <a:r>
                <a:rPr lang="en-US" sz="1200" b="0" i="0">
                  <a:solidFill>
                    <a:srgbClr val="002060"/>
                  </a:solidFill>
                  <a:latin typeface="Cambria Math"/>
                </a:rPr>
                <a:t>𝑚−𝑄𝐺)</a:t>
              </a:r>
              <a:endParaRPr lang="en-US" sz="1100"/>
            </a:p>
          </xdr:txBody>
        </xdr:sp>
      </mc:Fallback>
    </mc:AlternateContent>
    <xdr:clientData/>
  </xdr:oneCellAnchor>
  <xdr:oneCellAnchor>
    <xdr:from>
      <xdr:col>9</xdr:col>
      <xdr:colOff>568328</xdr:colOff>
      <xdr:row>161</xdr:row>
      <xdr:rowOff>179923</xdr:rowOff>
    </xdr:from>
    <xdr:ext cx="561975" cy="204788"/>
    <mc:AlternateContent xmlns:mc="http://schemas.openxmlformats.org/markup-compatibility/2006" xmlns:a14="http://schemas.microsoft.com/office/drawing/2010/main">
      <mc:Choice Requires="a14">
        <xdr:sp macro="" textlink="">
          <xdr:nvSpPr>
            <xdr:cNvPr id="47" name="TextBox 46"/>
            <xdr:cNvSpPr txBox="1"/>
          </xdr:nvSpPr>
          <xdr:spPr>
            <a:xfrm>
              <a:off x="7214661" y="31178506"/>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14:m>
                <m:oMathPara xmlns:m="http://schemas.openxmlformats.org/officeDocument/2006/math">
                  <m:oMathParaPr>
                    <m:jc m:val="left"/>
                  </m:oMathParaPr>
                  <m:oMath xmlns:m="http://schemas.openxmlformats.org/officeDocument/2006/math">
                    <m:sSub>
                      <m:sSubPr>
                        <m:ctrlPr>
                          <a:rPr lang="en-US" sz="1200" i="1">
                            <a:solidFill>
                              <a:srgbClr val="002060"/>
                            </a:solidFill>
                            <a:latin typeface="Cambria Math" panose="02040503050406030204" pitchFamily="18" charset="0"/>
                          </a:rPr>
                        </m:ctrlPr>
                      </m:sSubPr>
                      <m:e>
                        <m:r>
                          <a:rPr lang="en-US" sz="1200" i="1">
                            <a:solidFill>
                              <a:srgbClr val="002060"/>
                            </a:solidFill>
                            <a:latin typeface="Cambria Math"/>
                            <a:ea typeface="Cambria Math"/>
                          </a:rPr>
                          <m:t>𝜏</m:t>
                        </m:r>
                      </m:e>
                      <m:sub>
                        <m:r>
                          <a:rPr lang="en-US" sz="1200" b="0" i="1">
                            <a:solidFill>
                              <a:srgbClr val="002060"/>
                            </a:solidFill>
                            <a:latin typeface="Cambria Math"/>
                          </a:rPr>
                          <m:t>𝑄𝐺</m:t>
                        </m:r>
                      </m:sub>
                    </m:sSub>
                  </m:oMath>
                </m:oMathPara>
              </a14:m>
              <a:endParaRPr lang="en-US" sz="1100"/>
            </a:p>
          </xdr:txBody>
        </xdr:sp>
      </mc:Choice>
      <mc:Fallback xmlns="">
        <xdr:sp macro="" textlink="">
          <xdr:nvSpPr>
            <xdr:cNvPr id="47" name="TextBox 46"/>
            <xdr:cNvSpPr txBox="1"/>
          </xdr:nvSpPr>
          <xdr:spPr>
            <a:xfrm>
              <a:off x="7214661" y="31178506"/>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r>
                <a:rPr lang="en-US" sz="1200" i="0">
                  <a:solidFill>
                    <a:srgbClr val="002060"/>
                  </a:solidFill>
                  <a:latin typeface="Cambria Math"/>
                  <a:ea typeface="Cambria Math"/>
                </a:rPr>
                <a:t>𝜏_</a:t>
              </a:r>
              <a:r>
                <a:rPr lang="en-US" sz="1200" b="0" i="0">
                  <a:solidFill>
                    <a:srgbClr val="002060"/>
                  </a:solidFill>
                  <a:latin typeface="Cambria Math"/>
                </a:rPr>
                <a:t>𝑄𝐺</a:t>
              </a:r>
              <a:endParaRPr lang="en-US" sz="1100"/>
            </a:p>
          </xdr:txBody>
        </xdr:sp>
      </mc:Fallback>
    </mc:AlternateContent>
    <xdr:clientData/>
  </xdr:oneCellAnchor>
  <xdr:oneCellAnchor>
    <xdr:from>
      <xdr:col>13</xdr:col>
      <xdr:colOff>538694</xdr:colOff>
      <xdr:row>157</xdr:row>
      <xdr:rowOff>179917</xdr:rowOff>
    </xdr:from>
    <xdr:ext cx="561975" cy="204788"/>
    <mc:AlternateContent xmlns:mc="http://schemas.openxmlformats.org/markup-compatibility/2006" xmlns:a14="http://schemas.microsoft.com/office/drawing/2010/main">
      <mc:Choice Requires="a14">
        <xdr:sp macro="" textlink="">
          <xdr:nvSpPr>
            <xdr:cNvPr id="48" name="TextBox 47"/>
            <xdr:cNvSpPr txBox="1"/>
          </xdr:nvSpPr>
          <xdr:spPr>
            <a:xfrm>
              <a:off x="10578044" y="30707542"/>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14:m>
                <m:oMathPara xmlns:m="http://schemas.openxmlformats.org/officeDocument/2006/math">
                  <m:oMathParaPr>
                    <m:jc m:val="left"/>
                  </m:oMathParaPr>
                  <m:oMath xmlns:m="http://schemas.openxmlformats.org/officeDocument/2006/math">
                    <m:sSub>
                      <m:sSubPr>
                        <m:ctrlPr>
                          <a:rPr lang="en-US" sz="1200" i="1">
                            <a:solidFill>
                              <a:srgbClr val="002060"/>
                            </a:solidFill>
                            <a:latin typeface="Cambria Math" panose="02040503050406030204" pitchFamily="18" charset="0"/>
                          </a:rPr>
                        </m:ctrlPr>
                      </m:sSubPr>
                      <m:e>
                        <m:r>
                          <a:rPr lang="en-US" sz="1200" i="1">
                            <a:solidFill>
                              <a:srgbClr val="002060"/>
                            </a:solidFill>
                            <a:latin typeface="Cambria Math"/>
                            <a:ea typeface="Cambria Math"/>
                          </a:rPr>
                          <m:t>𝜏</m:t>
                        </m:r>
                      </m:e>
                      <m:sub>
                        <m:r>
                          <a:rPr lang="en-US" sz="1200" b="0" i="1">
                            <a:solidFill>
                              <a:srgbClr val="002060"/>
                            </a:solidFill>
                            <a:latin typeface="Cambria Math"/>
                          </a:rPr>
                          <m:t>𝑏</m:t>
                        </m:r>
                        <m:r>
                          <a:rPr lang="en-US" sz="1200" b="0" i="1">
                            <a:solidFill>
                              <a:srgbClr val="002060"/>
                            </a:solidFill>
                            <a:latin typeface="Cambria Math"/>
                          </a:rPr>
                          <m:t>−</m:t>
                        </m:r>
                        <m:r>
                          <a:rPr lang="en-US" sz="1200" b="0" i="1">
                            <a:solidFill>
                              <a:srgbClr val="002060"/>
                            </a:solidFill>
                            <a:latin typeface="Cambria Math"/>
                          </a:rPr>
                          <m:t>𝑄𝐿</m:t>
                        </m:r>
                      </m:sub>
                    </m:sSub>
                  </m:oMath>
                </m:oMathPara>
              </a14:m>
              <a:endParaRPr lang="en-US" sz="1100"/>
            </a:p>
          </xdr:txBody>
        </xdr:sp>
      </mc:Choice>
      <mc:Fallback xmlns="">
        <xdr:sp macro="" textlink="">
          <xdr:nvSpPr>
            <xdr:cNvPr id="48" name="TextBox 47"/>
            <xdr:cNvSpPr txBox="1"/>
          </xdr:nvSpPr>
          <xdr:spPr>
            <a:xfrm>
              <a:off x="10578044" y="30707542"/>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r>
                <a:rPr lang="en-US" sz="1200" i="0">
                  <a:solidFill>
                    <a:srgbClr val="002060"/>
                  </a:solidFill>
                  <a:latin typeface="Cambria Math"/>
                  <a:ea typeface="Cambria Math"/>
                </a:rPr>
                <a:t>𝜏_(</a:t>
              </a:r>
              <a:r>
                <a:rPr lang="en-US" sz="1200" b="0" i="0">
                  <a:solidFill>
                    <a:srgbClr val="002060"/>
                  </a:solidFill>
                  <a:latin typeface="Cambria Math"/>
                </a:rPr>
                <a:t>𝑏−𝑄𝐿)</a:t>
              </a:r>
              <a:endParaRPr lang="en-US" sz="1100"/>
            </a:p>
          </xdr:txBody>
        </xdr:sp>
      </mc:Fallback>
    </mc:AlternateContent>
    <xdr:clientData/>
  </xdr:oneCellAnchor>
  <xdr:oneCellAnchor>
    <xdr:from>
      <xdr:col>13</xdr:col>
      <xdr:colOff>539752</xdr:colOff>
      <xdr:row>158</xdr:row>
      <xdr:rowOff>180976</xdr:rowOff>
    </xdr:from>
    <xdr:ext cx="561975" cy="204788"/>
    <mc:AlternateContent xmlns:mc="http://schemas.openxmlformats.org/markup-compatibility/2006" xmlns:a14="http://schemas.microsoft.com/office/drawing/2010/main">
      <mc:Choice Requires="a14">
        <xdr:sp macro="" textlink="">
          <xdr:nvSpPr>
            <xdr:cNvPr id="49" name="TextBox 48"/>
            <xdr:cNvSpPr txBox="1"/>
          </xdr:nvSpPr>
          <xdr:spPr>
            <a:xfrm>
              <a:off x="10579102" y="30899101"/>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14:m>
                <m:oMathPara xmlns:m="http://schemas.openxmlformats.org/officeDocument/2006/math">
                  <m:oMathParaPr>
                    <m:jc m:val="left"/>
                  </m:oMathParaPr>
                  <m:oMath xmlns:m="http://schemas.openxmlformats.org/officeDocument/2006/math">
                    <m:sSub>
                      <m:sSubPr>
                        <m:ctrlPr>
                          <a:rPr lang="en-US" sz="1200" i="1">
                            <a:solidFill>
                              <a:srgbClr val="002060"/>
                            </a:solidFill>
                            <a:latin typeface="Cambria Math" panose="02040503050406030204" pitchFamily="18" charset="0"/>
                          </a:rPr>
                        </m:ctrlPr>
                      </m:sSubPr>
                      <m:e>
                        <m:r>
                          <a:rPr lang="en-US" sz="1200" i="1">
                            <a:solidFill>
                              <a:srgbClr val="002060"/>
                            </a:solidFill>
                            <a:latin typeface="Cambria Math"/>
                            <a:ea typeface="Cambria Math"/>
                          </a:rPr>
                          <m:t>𝜏</m:t>
                        </m:r>
                      </m:e>
                      <m:sub>
                        <m:r>
                          <a:rPr lang="en-US" sz="1200" b="0" i="1">
                            <a:solidFill>
                              <a:srgbClr val="002060"/>
                            </a:solidFill>
                            <a:latin typeface="Cambria Math"/>
                          </a:rPr>
                          <m:t>𝑚</m:t>
                        </m:r>
                        <m:r>
                          <a:rPr lang="en-US" sz="1200" b="0" i="1">
                            <a:solidFill>
                              <a:srgbClr val="002060"/>
                            </a:solidFill>
                            <a:latin typeface="Cambria Math"/>
                          </a:rPr>
                          <m:t>−</m:t>
                        </m:r>
                        <m:r>
                          <a:rPr lang="en-US" sz="1200" b="0" i="1">
                            <a:solidFill>
                              <a:srgbClr val="002060"/>
                            </a:solidFill>
                            <a:latin typeface="Cambria Math"/>
                          </a:rPr>
                          <m:t>𝑄𝐿</m:t>
                        </m:r>
                      </m:sub>
                    </m:sSub>
                  </m:oMath>
                </m:oMathPara>
              </a14:m>
              <a:endParaRPr lang="en-US" sz="1100"/>
            </a:p>
          </xdr:txBody>
        </xdr:sp>
      </mc:Choice>
      <mc:Fallback xmlns="">
        <xdr:sp macro="" textlink="">
          <xdr:nvSpPr>
            <xdr:cNvPr id="49" name="TextBox 48"/>
            <xdr:cNvSpPr txBox="1"/>
          </xdr:nvSpPr>
          <xdr:spPr>
            <a:xfrm>
              <a:off x="10579102" y="30899101"/>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r>
                <a:rPr lang="en-US" sz="1200" i="0">
                  <a:solidFill>
                    <a:srgbClr val="002060"/>
                  </a:solidFill>
                  <a:latin typeface="Cambria Math"/>
                  <a:ea typeface="Cambria Math"/>
                </a:rPr>
                <a:t>𝜏_(</a:t>
              </a:r>
              <a:r>
                <a:rPr lang="en-US" sz="1200" b="0" i="0">
                  <a:solidFill>
                    <a:srgbClr val="002060"/>
                  </a:solidFill>
                  <a:latin typeface="Cambria Math"/>
                </a:rPr>
                <a:t>𝑚−𝑄𝐿)</a:t>
              </a:r>
              <a:endParaRPr lang="en-US" sz="1100"/>
            </a:p>
          </xdr:txBody>
        </xdr:sp>
      </mc:Fallback>
    </mc:AlternateContent>
    <xdr:clientData/>
  </xdr:oneCellAnchor>
  <xdr:oneCellAnchor>
    <xdr:from>
      <xdr:col>13</xdr:col>
      <xdr:colOff>539752</xdr:colOff>
      <xdr:row>161</xdr:row>
      <xdr:rowOff>169333</xdr:rowOff>
    </xdr:from>
    <xdr:ext cx="561975" cy="204788"/>
    <mc:AlternateContent xmlns:mc="http://schemas.openxmlformats.org/markup-compatibility/2006" xmlns:a14="http://schemas.microsoft.com/office/drawing/2010/main">
      <mc:Choice Requires="a14">
        <xdr:sp macro="" textlink="">
          <xdr:nvSpPr>
            <xdr:cNvPr id="50" name="TextBox 49"/>
            <xdr:cNvSpPr txBox="1"/>
          </xdr:nvSpPr>
          <xdr:spPr>
            <a:xfrm>
              <a:off x="10579102" y="31468483"/>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14:m>
                <m:oMathPara xmlns:m="http://schemas.openxmlformats.org/officeDocument/2006/math">
                  <m:oMathParaPr>
                    <m:jc m:val="left"/>
                  </m:oMathParaPr>
                  <m:oMath xmlns:m="http://schemas.openxmlformats.org/officeDocument/2006/math">
                    <m:sSub>
                      <m:sSubPr>
                        <m:ctrlPr>
                          <a:rPr lang="en-US" sz="1200" i="1">
                            <a:solidFill>
                              <a:srgbClr val="002060"/>
                            </a:solidFill>
                            <a:latin typeface="Cambria Math" panose="02040503050406030204" pitchFamily="18" charset="0"/>
                          </a:rPr>
                        </m:ctrlPr>
                      </m:sSubPr>
                      <m:e>
                        <m:r>
                          <a:rPr lang="en-US" sz="1200" i="1">
                            <a:solidFill>
                              <a:srgbClr val="002060"/>
                            </a:solidFill>
                            <a:latin typeface="Cambria Math"/>
                            <a:ea typeface="Cambria Math"/>
                          </a:rPr>
                          <m:t>𝜏</m:t>
                        </m:r>
                      </m:e>
                      <m:sub>
                        <m:r>
                          <a:rPr lang="en-US" sz="1200" b="0" i="1">
                            <a:solidFill>
                              <a:srgbClr val="002060"/>
                            </a:solidFill>
                            <a:latin typeface="Cambria Math"/>
                          </a:rPr>
                          <m:t>𝑄𝐿</m:t>
                        </m:r>
                      </m:sub>
                    </m:sSub>
                  </m:oMath>
                </m:oMathPara>
              </a14:m>
              <a:endParaRPr lang="en-US" sz="1100"/>
            </a:p>
          </xdr:txBody>
        </xdr:sp>
      </mc:Choice>
      <mc:Fallback xmlns="">
        <xdr:sp macro="" textlink="">
          <xdr:nvSpPr>
            <xdr:cNvPr id="50" name="TextBox 49"/>
            <xdr:cNvSpPr txBox="1"/>
          </xdr:nvSpPr>
          <xdr:spPr>
            <a:xfrm>
              <a:off x="10579102" y="31468483"/>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r>
                <a:rPr lang="en-US" sz="1200" i="0">
                  <a:solidFill>
                    <a:srgbClr val="002060"/>
                  </a:solidFill>
                  <a:latin typeface="Cambria Math"/>
                  <a:ea typeface="Cambria Math"/>
                </a:rPr>
                <a:t>𝜏_</a:t>
              </a:r>
              <a:r>
                <a:rPr lang="en-US" sz="1200" b="0" i="0">
                  <a:solidFill>
                    <a:srgbClr val="002060"/>
                  </a:solidFill>
                  <a:latin typeface="Cambria Math"/>
                </a:rPr>
                <a:t>𝑄𝐿</a:t>
              </a:r>
              <a:endParaRPr lang="en-US" sz="1100"/>
            </a:p>
          </xdr:txBody>
        </xdr:sp>
      </mc:Fallback>
    </mc:AlternateContent>
    <xdr:clientData/>
  </xdr:oneCellAnchor>
  <xdr:oneCellAnchor>
    <xdr:from>
      <xdr:col>3</xdr:col>
      <xdr:colOff>1363651</xdr:colOff>
      <xdr:row>160</xdr:row>
      <xdr:rowOff>148163</xdr:rowOff>
    </xdr:from>
    <xdr:ext cx="989023" cy="204262"/>
    <mc:AlternateContent xmlns:mc="http://schemas.openxmlformats.org/markup-compatibility/2006" xmlns:a14="http://schemas.microsoft.com/office/drawing/2010/main">
      <mc:Choice Requires="a14">
        <xdr:sp macro="" textlink="">
          <xdr:nvSpPr>
            <xdr:cNvPr id="51" name="TextBox 50"/>
            <xdr:cNvSpPr txBox="1"/>
          </xdr:nvSpPr>
          <xdr:spPr>
            <a:xfrm>
              <a:off x="3192451" y="31056788"/>
              <a:ext cx="989023" cy="2042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14:m>
                <m:oMath xmlns:m="http://schemas.openxmlformats.org/officeDocument/2006/math">
                  <m:sSub>
                    <m:sSubPr>
                      <m:ctrlPr>
                        <a:rPr lang="en-US" sz="1200" i="1">
                          <a:solidFill>
                            <a:srgbClr val="000000"/>
                          </a:solidFill>
                          <a:latin typeface="Cambria Math" panose="02040503050406030204" pitchFamily="18" charset="0"/>
                        </a:rPr>
                      </m:ctrlPr>
                    </m:sSubPr>
                    <m:e>
                      <m:r>
                        <a:rPr lang="en-US" sz="1200" i="1">
                          <a:solidFill>
                            <a:srgbClr val="000000"/>
                          </a:solidFill>
                          <a:latin typeface="Cambria Math"/>
                          <a:ea typeface="Cambria Math"/>
                        </a:rPr>
                        <m:t>𝜏</m:t>
                      </m:r>
                    </m:e>
                    <m:sub>
                      <m:r>
                        <a:rPr lang="en-US" sz="1200" b="0" i="1">
                          <a:solidFill>
                            <a:srgbClr val="000000"/>
                          </a:solidFill>
                          <a:latin typeface="Cambria Math"/>
                        </a:rPr>
                        <m:t>𝑏</m:t>
                      </m:r>
                      <m:r>
                        <a:rPr lang="en-US" sz="1200" b="0" i="1">
                          <a:solidFill>
                            <a:srgbClr val="000000"/>
                          </a:solidFill>
                          <a:latin typeface="Cambria Math"/>
                        </a:rPr>
                        <m:t>−</m:t>
                      </m:r>
                      <m:r>
                        <a:rPr lang="en-US" sz="1200" b="0" i="1">
                          <a:solidFill>
                            <a:srgbClr val="000000"/>
                          </a:solidFill>
                          <a:latin typeface="Cambria Math"/>
                        </a:rPr>
                        <m:t>𝑄𝑏</m:t>
                      </m:r>
                      <m:r>
                        <a:rPr lang="en-US" sz="1200" b="0" i="1">
                          <a:solidFill>
                            <a:srgbClr val="000000"/>
                          </a:solidFill>
                          <a:latin typeface="Cambria Math"/>
                        </a:rPr>
                        <m:t>_</m:t>
                      </m:r>
                      <m:r>
                        <a:rPr lang="en-US" sz="1200" b="0" i="1">
                          <a:solidFill>
                            <a:srgbClr val="000000"/>
                          </a:solidFill>
                          <a:latin typeface="Cambria Math"/>
                        </a:rPr>
                        <m:t>𝑃𝑟𝑖𝑚𝑎𝑟𝑦</m:t>
                      </m:r>
                    </m:sub>
                  </m:sSub>
                </m:oMath>
              </a14:m>
              <a:r>
                <a:rPr lang="en-US" sz="1100"/>
                <a:t> </a:t>
              </a:r>
            </a:p>
          </xdr:txBody>
        </xdr:sp>
      </mc:Choice>
      <mc:Fallback xmlns="">
        <xdr:sp macro="" textlink="">
          <xdr:nvSpPr>
            <xdr:cNvPr id="51" name="TextBox 50"/>
            <xdr:cNvSpPr txBox="1"/>
          </xdr:nvSpPr>
          <xdr:spPr>
            <a:xfrm>
              <a:off x="3192451" y="31056788"/>
              <a:ext cx="989023" cy="2042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r>
                <a:rPr lang="en-US" sz="1200" i="0">
                  <a:solidFill>
                    <a:srgbClr val="000000"/>
                  </a:solidFill>
                  <a:latin typeface="Cambria Math"/>
                  <a:ea typeface="Cambria Math"/>
                </a:rPr>
                <a:t>𝜏_(</a:t>
              </a:r>
              <a:r>
                <a:rPr lang="en-US" sz="1200" b="0" i="0">
                  <a:solidFill>
                    <a:srgbClr val="000000"/>
                  </a:solidFill>
                  <a:latin typeface="Cambria Math"/>
                </a:rPr>
                <a:t>𝑏−𝑄𝑏_𝑃𝑟𝑖𝑚𝑎𝑟𝑦)</a:t>
              </a:r>
              <a:r>
                <a:rPr lang="en-US" sz="1100"/>
                <a:t> </a:t>
              </a:r>
            </a:p>
          </xdr:txBody>
        </xdr:sp>
      </mc:Fallback>
    </mc:AlternateContent>
    <xdr:clientData/>
  </xdr:oneCellAnchor>
  <xdr:oneCellAnchor>
    <xdr:from>
      <xdr:col>6</xdr:col>
      <xdr:colOff>560919</xdr:colOff>
      <xdr:row>160</xdr:row>
      <xdr:rowOff>148162</xdr:rowOff>
    </xdr:from>
    <xdr:ext cx="561975" cy="204788"/>
    <mc:AlternateContent xmlns:mc="http://schemas.openxmlformats.org/markup-compatibility/2006" xmlns:a14="http://schemas.microsoft.com/office/drawing/2010/main">
      <mc:Choice Requires="a14">
        <xdr:sp macro="" textlink="">
          <xdr:nvSpPr>
            <xdr:cNvPr id="52" name="TextBox 51"/>
            <xdr:cNvSpPr txBox="1"/>
          </xdr:nvSpPr>
          <xdr:spPr>
            <a:xfrm>
              <a:off x="5371044" y="31256812"/>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14:m>
                <m:oMathPara xmlns:m="http://schemas.openxmlformats.org/officeDocument/2006/math">
                  <m:oMathParaPr>
                    <m:jc m:val="left"/>
                  </m:oMathParaPr>
                  <m:oMath xmlns:m="http://schemas.openxmlformats.org/officeDocument/2006/math">
                    <m:sSub>
                      <m:sSubPr>
                        <m:ctrlPr>
                          <a:rPr lang="en-US" sz="1200" i="1">
                            <a:solidFill>
                              <a:schemeClr val="tx1">
                                <a:lumMod val="95000"/>
                                <a:lumOff val="5000"/>
                              </a:schemeClr>
                            </a:solidFill>
                            <a:latin typeface="Cambria Math" panose="02040503050406030204" pitchFamily="18" charset="0"/>
                          </a:rPr>
                        </m:ctrlPr>
                      </m:sSubPr>
                      <m:e>
                        <m:r>
                          <a:rPr lang="en-US" sz="1200" i="1">
                            <a:solidFill>
                              <a:schemeClr val="tx1">
                                <a:lumMod val="95000"/>
                                <a:lumOff val="5000"/>
                              </a:schemeClr>
                            </a:solidFill>
                            <a:latin typeface="Cambria Math"/>
                            <a:ea typeface="Cambria Math"/>
                          </a:rPr>
                          <m:t>𝜏</m:t>
                        </m:r>
                      </m:e>
                      <m:sub>
                        <m:r>
                          <a:rPr lang="en-US" sz="1200" b="0" i="1">
                            <a:solidFill>
                              <a:schemeClr val="tx1">
                                <a:lumMod val="95000"/>
                                <a:lumOff val="5000"/>
                              </a:schemeClr>
                            </a:solidFill>
                            <a:latin typeface="Cambria Math"/>
                          </a:rPr>
                          <m:t>𝑚</m:t>
                        </m:r>
                        <m:r>
                          <a:rPr lang="en-US" sz="1200" b="0" i="1">
                            <a:solidFill>
                              <a:schemeClr val="tx1">
                                <a:lumMod val="95000"/>
                                <a:lumOff val="5000"/>
                              </a:schemeClr>
                            </a:solidFill>
                            <a:latin typeface="Cambria Math"/>
                          </a:rPr>
                          <m:t>−</m:t>
                        </m:r>
                        <m:r>
                          <a:rPr lang="en-US" sz="1200" b="0" i="1">
                            <a:solidFill>
                              <a:schemeClr val="tx1">
                                <a:lumMod val="95000"/>
                                <a:lumOff val="5000"/>
                              </a:schemeClr>
                            </a:solidFill>
                            <a:latin typeface="Cambria Math"/>
                          </a:rPr>
                          <m:t>𝑃𝐿</m:t>
                        </m:r>
                      </m:sub>
                    </m:sSub>
                  </m:oMath>
                </m:oMathPara>
              </a14:m>
              <a:endParaRPr lang="en-US" sz="1100"/>
            </a:p>
          </xdr:txBody>
        </xdr:sp>
      </mc:Choice>
      <mc:Fallback xmlns="">
        <xdr:sp macro="" textlink="">
          <xdr:nvSpPr>
            <xdr:cNvPr id="52" name="TextBox 51"/>
            <xdr:cNvSpPr txBox="1"/>
          </xdr:nvSpPr>
          <xdr:spPr>
            <a:xfrm>
              <a:off x="5371044" y="31256812"/>
              <a:ext cx="561975" cy="2047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r>
                <a:rPr lang="en-US" sz="1200" i="0">
                  <a:solidFill>
                    <a:schemeClr val="tx1">
                      <a:lumMod val="95000"/>
                      <a:lumOff val="5000"/>
                    </a:schemeClr>
                  </a:solidFill>
                  <a:latin typeface="Cambria Math"/>
                  <a:ea typeface="Cambria Math"/>
                </a:rPr>
                <a:t>𝜏_(</a:t>
              </a:r>
              <a:r>
                <a:rPr lang="en-US" sz="1200" b="0" i="0">
                  <a:solidFill>
                    <a:schemeClr val="tx1">
                      <a:lumMod val="95000"/>
                      <a:lumOff val="5000"/>
                    </a:schemeClr>
                  </a:solidFill>
                  <a:latin typeface="Cambria Math"/>
                </a:rPr>
                <a:t>𝑚−𝑃𝐿)</a:t>
              </a:r>
              <a:endParaRPr lang="en-US" sz="1100"/>
            </a:p>
          </xdr:txBody>
        </xdr:sp>
      </mc:Fallback>
    </mc:AlternateContent>
    <xdr:clientData/>
  </xdr:oneCellAnchor>
  <xdr:oneCellAnchor>
    <xdr:from>
      <xdr:col>3</xdr:col>
      <xdr:colOff>1320810</xdr:colOff>
      <xdr:row>165</xdr:row>
      <xdr:rowOff>34926</xdr:rowOff>
    </xdr:from>
    <xdr:ext cx="914400" cy="311496"/>
    <mc:AlternateContent xmlns:mc="http://schemas.openxmlformats.org/markup-compatibility/2006" xmlns:a14="http://schemas.microsoft.com/office/drawing/2010/main">
      <mc:Choice Requires="a14">
        <xdr:sp macro="" textlink="">
          <xdr:nvSpPr>
            <xdr:cNvPr id="53" name="TextBox 52"/>
            <xdr:cNvSpPr txBox="1"/>
          </xdr:nvSpPr>
          <xdr:spPr>
            <a:xfrm>
              <a:off x="3162310" y="31954259"/>
              <a:ext cx="91440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sSub>
                      <m:sSubPr>
                        <m:ctrlPr>
                          <a:rPr lang="en-US" sz="1400" b="0" i="1">
                            <a:latin typeface="Cambria Math" panose="02040503050406030204" pitchFamily="18" charset="0"/>
                          </a:rPr>
                        </m:ctrlPr>
                      </m:sSubPr>
                      <m:e>
                        <m:r>
                          <a:rPr lang="en-US" sz="1400" b="0" i="1">
                            <a:latin typeface="Cambria Math"/>
                          </a:rPr>
                          <m:t>𝑃</m:t>
                        </m:r>
                      </m:e>
                      <m:sub>
                        <m:r>
                          <a:rPr lang="en-US" sz="1400" b="0" i="1">
                            <a:latin typeface="Cambria Math"/>
                          </a:rPr>
                          <m:t>𝑚</m:t>
                        </m:r>
                      </m:sub>
                    </m:sSub>
                    <m:r>
                      <a:rPr lang="en-US" sz="1400" b="0" i="1">
                        <a:latin typeface="Cambria Math"/>
                        <a:ea typeface="Cambria Math"/>
                      </a:rPr>
                      <m:t>≤</m:t>
                    </m:r>
                    <m:r>
                      <a:rPr lang="en-US" sz="1400" b="0" i="1">
                        <a:latin typeface="Cambria Math"/>
                        <a:ea typeface="Cambria Math"/>
                      </a:rPr>
                      <m:t>𝑆</m:t>
                    </m:r>
                  </m:oMath>
                </m:oMathPara>
              </a14:m>
              <a:endParaRPr lang="en-US" sz="1400" b="0" i="1"/>
            </a:p>
          </xdr:txBody>
        </xdr:sp>
      </mc:Choice>
      <mc:Fallback xmlns="">
        <xdr:sp macro="" textlink="">
          <xdr:nvSpPr>
            <xdr:cNvPr id="53" name="TextBox 52"/>
            <xdr:cNvSpPr txBox="1"/>
          </xdr:nvSpPr>
          <xdr:spPr>
            <a:xfrm>
              <a:off x="3162310" y="31954259"/>
              <a:ext cx="91440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en-US" sz="1400" b="0" i="0">
                  <a:latin typeface="Cambria Math"/>
                </a:rPr>
                <a:t>𝑃_𝑚</a:t>
              </a:r>
              <a:r>
                <a:rPr lang="en-US" sz="1400" b="0" i="0">
                  <a:latin typeface="Cambria Math"/>
                  <a:ea typeface="Cambria Math"/>
                </a:rPr>
                <a:t>≤𝑆</a:t>
              </a:r>
              <a:endParaRPr lang="en-US" sz="1400" b="0" i="1"/>
            </a:p>
          </xdr:txBody>
        </xdr:sp>
      </mc:Fallback>
    </mc:AlternateContent>
    <xdr:clientData/>
  </xdr:oneCellAnchor>
  <xdr:oneCellAnchor>
    <xdr:from>
      <xdr:col>3</xdr:col>
      <xdr:colOff>1291178</xdr:colOff>
      <xdr:row>167</xdr:row>
      <xdr:rowOff>21167</xdr:rowOff>
    </xdr:from>
    <xdr:ext cx="1121833" cy="311496"/>
    <mc:AlternateContent xmlns:mc="http://schemas.openxmlformats.org/markup-compatibility/2006" xmlns:a14="http://schemas.microsoft.com/office/drawing/2010/main">
      <mc:Choice Requires="a14">
        <xdr:sp macro="" textlink="">
          <xdr:nvSpPr>
            <xdr:cNvPr id="54" name="TextBox 53"/>
            <xdr:cNvSpPr txBox="1"/>
          </xdr:nvSpPr>
          <xdr:spPr>
            <a:xfrm>
              <a:off x="3132678" y="32332084"/>
              <a:ext cx="112183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n-US" sz="1400" b="0" i="1">
                            <a:latin typeface="Cambria Math" panose="02040503050406030204" pitchFamily="18" charset="0"/>
                          </a:rPr>
                        </m:ctrlPr>
                      </m:sSubPr>
                      <m:e>
                        <m:r>
                          <a:rPr lang="en-US" sz="1400" b="0" i="1">
                            <a:latin typeface="Cambria Math"/>
                          </a:rPr>
                          <m:t>𝑃</m:t>
                        </m:r>
                      </m:e>
                      <m:sub>
                        <m:r>
                          <a:rPr lang="en-US" sz="1400" b="0" i="1">
                            <a:latin typeface="Cambria Math"/>
                          </a:rPr>
                          <m:t>𝐿</m:t>
                        </m:r>
                      </m:sub>
                    </m:sSub>
                    <m:r>
                      <a:rPr lang="en-US" sz="1400" b="0" i="1">
                        <a:latin typeface="Cambria Math"/>
                        <a:ea typeface="Cambria Math"/>
                      </a:rPr>
                      <m:t>≤1.5</m:t>
                    </m:r>
                    <m:r>
                      <a:rPr lang="en-US" sz="1400" b="0" i="1">
                        <a:latin typeface="Cambria Math"/>
                        <a:ea typeface="Cambria Math"/>
                      </a:rPr>
                      <m:t>𝑆</m:t>
                    </m:r>
                  </m:oMath>
                </m:oMathPara>
              </a14:m>
              <a:endParaRPr lang="en-US" sz="1400" b="0" i="1"/>
            </a:p>
          </xdr:txBody>
        </xdr:sp>
      </mc:Choice>
      <mc:Fallback xmlns="">
        <xdr:sp macro="" textlink="">
          <xdr:nvSpPr>
            <xdr:cNvPr id="54" name="TextBox 53"/>
            <xdr:cNvSpPr txBox="1"/>
          </xdr:nvSpPr>
          <xdr:spPr>
            <a:xfrm>
              <a:off x="3132678" y="32332084"/>
              <a:ext cx="112183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400" b="0" i="0">
                  <a:latin typeface="Cambria Math"/>
                </a:rPr>
                <a:t>𝑃_𝐿</a:t>
              </a:r>
              <a:r>
                <a:rPr lang="en-US" sz="1400" b="0" i="0">
                  <a:latin typeface="Cambria Math"/>
                  <a:ea typeface="Cambria Math"/>
                </a:rPr>
                <a:t>≤1.5𝑆</a:t>
              </a:r>
              <a:endParaRPr lang="en-US" sz="1400" b="0" i="1"/>
            </a:p>
          </xdr:txBody>
        </xdr:sp>
      </mc:Fallback>
    </mc:AlternateContent>
    <xdr:clientData/>
  </xdr:oneCellAnchor>
  <xdr:oneCellAnchor>
    <xdr:from>
      <xdr:col>3</xdr:col>
      <xdr:colOff>1185327</xdr:colOff>
      <xdr:row>169</xdr:row>
      <xdr:rowOff>31749</xdr:rowOff>
    </xdr:from>
    <xdr:ext cx="1566340" cy="311496"/>
    <mc:AlternateContent xmlns:mc="http://schemas.openxmlformats.org/markup-compatibility/2006" xmlns:a14="http://schemas.microsoft.com/office/drawing/2010/main">
      <mc:Choice Requires="a14">
        <xdr:sp macro="" textlink="">
          <xdr:nvSpPr>
            <xdr:cNvPr id="55" name="TextBox 54"/>
            <xdr:cNvSpPr txBox="1"/>
          </xdr:nvSpPr>
          <xdr:spPr>
            <a:xfrm>
              <a:off x="3026827" y="32734249"/>
              <a:ext cx="156634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n-US" sz="1400" b="0" i="1">
                            <a:latin typeface="Cambria Math" panose="02040503050406030204" pitchFamily="18" charset="0"/>
                          </a:rPr>
                        </m:ctrlPr>
                      </m:sSubPr>
                      <m:e>
                        <m:r>
                          <a:rPr lang="en-US" sz="1400" b="0" i="1">
                            <a:latin typeface="Cambria Math"/>
                          </a:rPr>
                          <m:t>𝑃</m:t>
                        </m:r>
                      </m:e>
                      <m:sub>
                        <m:r>
                          <a:rPr lang="en-US" sz="1400" b="0" i="1">
                            <a:latin typeface="Cambria Math"/>
                          </a:rPr>
                          <m:t>𝑚</m:t>
                        </m:r>
                      </m:sub>
                    </m:sSub>
                    <m:r>
                      <a:rPr lang="en-US" sz="1400" b="0" i="1">
                        <a:latin typeface="Cambria Math"/>
                      </a:rPr>
                      <m:t>+</m:t>
                    </m:r>
                    <m:r>
                      <a:rPr lang="en-US" sz="1400" b="0" i="1">
                        <a:latin typeface="Cambria Math"/>
                      </a:rPr>
                      <m:t>𝑄</m:t>
                    </m:r>
                    <m:r>
                      <a:rPr lang="en-US" sz="1400" b="0" i="1">
                        <a:latin typeface="Cambria Math"/>
                        <a:ea typeface="Cambria Math"/>
                      </a:rPr>
                      <m:t>≤3</m:t>
                    </m:r>
                    <m:r>
                      <a:rPr lang="en-US" sz="1400" b="0" i="1">
                        <a:latin typeface="Cambria Math"/>
                        <a:ea typeface="Cambria Math"/>
                      </a:rPr>
                      <m:t>𝑆</m:t>
                    </m:r>
                  </m:oMath>
                </m:oMathPara>
              </a14:m>
              <a:endParaRPr lang="en-US" sz="1400" b="0" i="1"/>
            </a:p>
          </xdr:txBody>
        </xdr:sp>
      </mc:Choice>
      <mc:Fallback xmlns="">
        <xdr:sp macro="" textlink="">
          <xdr:nvSpPr>
            <xdr:cNvPr id="55" name="TextBox 54"/>
            <xdr:cNvSpPr txBox="1"/>
          </xdr:nvSpPr>
          <xdr:spPr>
            <a:xfrm>
              <a:off x="3026827" y="32734249"/>
              <a:ext cx="156634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400" b="0" i="0">
                  <a:latin typeface="Cambria Math"/>
                </a:rPr>
                <a:t>𝑃_𝑚+𝑄</a:t>
              </a:r>
              <a:r>
                <a:rPr lang="en-US" sz="1400" b="0" i="0">
                  <a:latin typeface="Cambria Math"/>
                  <a:ea typeface="Cambria Math"/>
                </a:rPr>
                <a:t>≤3𝑆</a:t>
              </a:r>
              <a:endParaRPr lang="en-US" sz="1400" b="0" i="1"/>
            </a:p>
          </xdr:txBody>
        </xdr:sp>
      </mc:Fallback>
    </mc:AlternateContent>
    <xdr:clientData/>
  </xdr:oneCellAnchor>
  <xdr:oneCellAnchor>
    <xdr:from>
      <xdr:col>3</xdr:col>
      <xdr:colOff>1153578</xdr:colOff>
      <xdr:row>171</xdr:row>
      <xdr:rowOff>31749</xdr:rowOff>
    </xdr:from>
    <xdr:ext cx="1566340" cy="311496"/>
    <mc:AlternateContent xmlns:mc="http://schemas.openxmlformats.org/markup-compatibility/2006" xmlns:a14="http://schemas.microsoft.com/office/drawing/2010/main">
      <mc:Choice Requires="a14">
        <xdr:sp macro="" textlink="">
          <xdr:nvSpPr>
            <xdr:cNvPr id="56" name="TextBox 55"/>
            <xdr:cNvSpPr txBox="1"/>
          </xdr:nvSpPr>
          <xdr:spPr>
            <a:xfrm>
              <a:off x="2995078" y="33125832"/>
              <a:ext cx="156634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n-US" sz="1400" b="0" i="1">
                            <a:latin typeface="Cambria Math" panose="02040503050406030204" pitchFamily="18" charset="0"/>
                          </a:rPr>
                        </m:ctrlPr>
                      </m:sSubPr>
                      <m:e>
                        <m:r>
                          <a:rPr lang="en-US" sz="1400" b="0" i="1">
                            <a:latin typeface="Cambria Math"/>
                          </a:rPr>
                          <m:t>𝑃</m:t>
                        </m:r>
                      </m:e>
                      <m:sub>
                        <m:r>
                          <a:rPr lang="en-US" sz="1400" b="0" i="1">
                            <a:latin typeface="Cambria Math"/>
                          </a:rPr>
                          <m:t>𝐿</m:t>
                        </m:r>
                      </m:sub>
                    </m:sSub>
                    <m:r>
                      <a:rPr lang="en-US" sz="1400" b="0" i="1">
                        <a:latin typeface="Cambria Math"/>
                      </a:rPr>
                      <m:t>+</m:t>
                    </m:r>
                    <m:r>
                      <a:rPr lang="en-US" sz="1400" b="0" i="1">
                        <a:latin typeface="Cambria Math"/>
                      </a:rPr>
                      <m:t>𝑄</m:t>
                    </m:r>
                    <m:r>
                      <a:rPr lang="en-US" sz="1400" b="0" i="1">
                        <a:latin typeface="Cambria Math"/>
                        <a:ea typeface="Cambria Math"/>
                      </a:rPr>
                      <m:t>≤3</m:t>
                    </m:r>
                    <m:r>
                      <a:rPr lang="en-US" sz="1400" b="0" i="1">
                        <a:latin typeface="Cambria Math"/>
                        <a:ea typeface="Cambria Math"/>
                      </a:rPr>
                      <m:t>𝑆</m:t>
                    </m:r>
                  </m:oMath>
                </m:oMathPara>
              </a14:m>
              <a:endParaRPr lang="en-US" sz="1400" b="0" i="1"/>
            </a:p>
          </xdr:txBody>
        </xdr:sp>
      </mc:Choice>
      <mc:Fallback xmlns="">
        <xdr:sp macro="" textlink="">
          <xdr:nvSpPr>
            <xdr:cNvPr id="56" name="TextBox 55"/>
            <xdr:cNvSpPr txBox="1"/>
          </xdr:nvSpPr>
          <xdr:spPr>
            <a:xfrm>
              <a:off x="2995078" y="33125832"/>
              <a:ext cx="156634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400" b="0" i="0">
                  <a:latin typeface="Cambria Math"/>
                </a:rPr>
                <a:t>𝑃_𝐿+𝑄</a:t>
              </a:r>
              <a:r>
                <a:rPr lang="en-US" sz="1400" b="0" i="0">
                  <a:latin typeface="Cambria Math"/>
                  <a:ea typeface="Cambria Math"/>
                </a:rPr>
                <a:t>≤3𝑆</a:t>
              </a:r>
              <a:endParaRPr lang="en-US" sz="1400" b="0" i="1"/>
            </a:p>
          </xdr:txBody>
        </xdr:sp>
      </mc:Fallback>
    </mc:AlternateContent>
    <xdr:clientData/>
  </xdr:oneCellAnchor>
  <xdr:twoCellAnchor editAs="oneCell">
    <xdr:from>
      <xdr:col>1</xdr:col>
      <xdr:colOff>133350</xdr:colOff>
      <xdr:row>163</xdr:row>
      <xdr:rowOff>46567</xdr:rowOff>
    </xdr:from>
    <xdr:to>
      <xdr:col>3</xdr:col>
      <xdr:colOff>497417</xdr:colOff>
      <xdr:row>172</xdr:row>
      <xdr:rowOff>166026</xdr:rowOff>
    </xdr:to>
    <xdr:pic>
      <xdr:nvPicPr>
        <xdr:cNvPr id="57" name="Picture 56"/>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747183" y="31436734"/>
          <a:ext cx="1591734" cy="20138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600075</xdr:colOff>
          <xdr:row>129</xdr:row>
          <xdr:rowOff>9525</xdr:rowOff>
        </xdr:from>
        <xdr:to>
          <xdr:col>3</xdr:col>
          <xdr:colOff>1428750</xdr:colOff>
          <xdr:row>130</xdr:row>
          <xdr:rowOff>266700</xdr:rowOff>
        </xdr:to>
        <xdr:sp macro="" textlink="">
          <xdr:nvSpPr>
            <xdr:cNvPr id="21519" name="Drop Down 15" hidden="1">
              <a:extLst>
                <a:ext uri="{63B3BB69-23CF-44E3-9099-C40C66FF867C}">
                  <a14:compatExt spid="_x0000_s215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6</xdr:col>
      <xdr:colOff>142883</xdr:colOff>
      <xdr:row>13</xdr:row>
      <xdr:rowOff>48948</xdr:rowOff>
    </xdr:from>
    <xdr:to>
      <xdr:col>7</xdr:col>
      <xdr:colOff>600082</xdr:colOff>
      <xdr:row>22</xdr:row>
      <xdr:rowOff>171383</xdr:rowOff>
    </xdr:to>
    <xdr:pic>
      <xdr:nvPicPr>
        <xdr:cNvPr id="59" name="Picture 58"/>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4714883" y="2787386"/>
          <a:ext cx="1064418" cy="1836935"/>
        </a:xfrm>
        <a:prstGeom prst="rect">
          <a:avLst/>
        </a:prstGeom>
      </xdr:spPr>
    </xdr:pic>
    <xdr:clientData/>
  </xdr:twoCellAnchor>
  <xdr:twoCellAnchor editAs="oneCell">
    <xdr:from>
      <xdr:col>10</xdr:col>
      <xdr:colOff>406134</xdr:colOff>
      <xdr:row>13</xdr:row>
      <xdr:rowOff>44980</xdr:rowOff>
    </xdr:from>
    <xdr:to>
      <xdr:col>11</xdr:col>
      <xdr:colOff>48946</xdr:colOff>
      <xdr:row>22</xdr:row>
      <xdr:rowOff>137582</xdr:rowOff>
    </xdr:to>
    <xdr:pic>
      <xdr:nvPicPr>
        <xdr:cNvPr id="60" name="Picture 59"/>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7621322" y="2783418"/>
          <a:ext cx="952499" cy="1807102"/>
        </a:xfrm>
        <a:prstGeom prst="rect">
          <a:avLst/>
        </a:prstGeom>
      </xdr:spPr>
    </xdr:pic>
    <xdr:clientData/>
  </xdr:twoCellAnchor>
  <xdr:twoCellAnchor editAs="oneCell">
    <xdr:from>
      <xdr:col>15</xdr:col>
      <xdr:colOff>22493</xdr:colOff>
      <xdr:row>13</xdr:row>
      <xdr:rowOff>44974</xdr:rowOff>
    </xdr:from>
    <xdr:to>
      <xdr:col>15</xdr:col>
      <xdr:colOff>997479</xdr:colOff>
      <xdr:row>22</xdr:row>
      <xdr:rowOff>169334</xdr:rowOff>
    </xdr:to>
    <xdr:pic>
      <xdr:nvPicPr>
        <xdr:cNvPr id="61" name="Picture 60"/>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10904806" y="2783412"/>
          <a:ext cx="974986" cy="1838860"/>
        </a:xfrm>
        <a:prstGeom prst="rect">
          <a:avLst/>
        </a:prstGeom>
      </xdr:spPr>
    </xdr:pic>
    <xdr:clientData/>
  </xdr:twoCellAnchor>
  <xdr:twoCellAnchor editAs="oneCell">
    <xdr:from>
      <xdr:col>10</xdr:col>
      <xdr:colOff>316704</xdr:colOff>
      <xdr:row>33</xdr:row>
      <xdr:rowOff>38100</xdr:rowOff>
    </xdr:from>
    <xdr:to>
      <xdr:col>12</xdr:col>
      <xdr:colOff>264578</xdr:colOff>
      <xdr:row>42</xdr:row>
      <xdr:rowOff>167425</xdr:rowOff>
    </xdr:to>
    <xdr:pic>
      <xdr:nvPicPr>
        <xdr:cNvPr id="62" name="Picture 61"/>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7481621" y="6493933"/>
          <a:ext cx="1874040" cy="1843825"/>
        </a:xfrm>
        <a:prstGeom prst="rect">
          <a:avLst/>
        </a:prstGeom>
      </xdr:spPr>
    </xdr:pic>
    <xdr:clientData/>
  </xdr:twoCellAnchor>
  <xdr:twoCellAnchor>
    <xdr:from>
      <xdr:col>0</xdr:col>
      <xdr:colOff>29633</xdr:colOff>
      <xdr:row>112</xdr:row>
      <xdr:rowOff>20108</xdr:rowOff>
    </xdr:from>
    <xdr:to>
      <xdr:col>8</xdr:col>
      <xdr:colOff>550333</xdr:colOff>
      <xdr:row>128</xdr:row>
      <xdr:rowOff>137584</xdr:rowOff>
    </xdr:to>
    <xdr:graphicFrame macro="">
      <xdr:nvGraphicFramePr>
        <xdr:cNvPr id="63" name="Chart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15</xdr:col>
      <xdr:colOff>46301</xdr:colOff>
      <xdr:row>33</xdr:row>
      <xdr:rowOff>66675</xdr:rowOff>
    </xdr:from>
    <xdr:to>
      <xdr:col>16</xdr:col>
      <xdr:colOff>63499</xdr:colOff>
      <xdr:row>42</xdr:row>
      <xdr:rowOff>157315</xdr:rowOff>
    </xdr:to>
    <xdr:pic>
      <xdr:nvPicPr>
        <xdr:cNvPr id="64" name="Picture 63"/>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10928614" y="6650831"/>
          <a:ext cx="1612635" cy="1805140"/>
        </a:xfrm>
        <a:prstGeom prst="rect">
          <a:avLst/>
        </a:prstGeom>
      </xdr:spPr>
    </xdr:pic>
    <xdr:clientData/>
  </xdr:twoCellAnchor>
  <xdr:twoCellAnchor>
    <xdr:from>
      <xdr:col>9</xdr:col>
      <xdr:colOff>42333</xdr:colOff>
      <xdr:row>112</xdr:row>
      <xdr:rowOff>30691</xdr:rowOff>
    </xdr:from>
    <xdr:to>
      <xdr:col>16</xdr:col>
      <xdr:colOff>726282</xdr:colOff>
      <xdr:row>128</xdr:row>
      <xdr:rowOff>158751</xdr:rowOff>
    </xdr:to>
    <xdr:graphicFrame macro="">
      <xdr:nvGraphicFramePr>
        <xdr:cNvPr id="65"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50805</xdr:colOff>
      <xdr:row>2</xdr:row>
      <xdr:rowOff>34926</xdr:rowOff>
    </xdr:from>
    <xdr:ext cx="914400" cy="311496"/>
    <mc:AlternateContent xmlns:mc="http://schemas.openxmlformats.org/markup-compatibility/2006" xmlns:a14="http://schemas.microsoft.com/office/drawing/2010/main">
      <mc:Choice Requires="a14">
        <xdr:sp macro="" textlink="">
          <xdr:nvSpPr>
            <xdr:cNvPr id="2" name="TextBox 1"/>
            <xdr:cNvSpPr txBox="1"/>
          </xdr:nvSpPr>
          <xdr:spPr>
            <a:xfrm>
              <a:off x="831855" y="625476"/>
              <a:ext cx="91440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sSub>
                      <m:sSubPr>
                        <m:ctrlPr>
                          <a:rPr lang="en-US" sz="1400" b="0" i="1">
                            <a:latin typeface="Cambria Math" panose="02040503050406030204" pitchFamily="18" charset="0"/>
                          </a:rPr>
                        </m:ctrlPr>
                      </m:sSubPr>
                      <m:e>
                        <m:r>
                          <a:rPr lang="en-US" sz="1400" b="0" i="1">
                            <a:latin typeface="Cambria Math"/>
                          </a:rPr>
                          <m:t>𝑃</m:t>
                        </m:r>
                      </m:e>
                      <m:sub>
                        <m:r>
                          <a:rPr lang="en-US" sz="1400" b="0" i="1">
                            <a:latin typeface="Cambria Math"/>
                          </a:rPr>
                          <m:t>𝑚</m:t>
                        </m:r>
                      </m:sub>
                    </m:sSub>
                    <m:r>
                      <a:rPr lang="en-US" sz="1400" b="0" i="1">
                        <a:latin typeface="Cambria Math"/>
                        <a:ea typeface="Cambria Math"/>
                      </a:rPr>
                      <m:t>≤</m:t>
                    </m:r>
                    <m:r>
                      <a:rPr lang="en-US" sz="1400" b="0" i="1">
                        <a:latin typeface="Cambria Math"/>
                        <a:ea typeface="Cambria Math"/>
                      </a:rPr>
                      <m:t>𝑆</m:t>
                    </m:r>
                  </m:oMath>
                </m:oMathPara>
              </a14:m>
              <a:endParaRPr lang="en-US" sz="1400" b="0" i="1"/>
            </a:p>
          </xdr:txBody>
        </xdr:sp>
      </mc:Choice>
      <mc:Fallback xmlns="">
        <xdr:sp macro="" textlink="">
          <xdr:nvSpPr>
            <xdr:cNvPr id="2" name="TextBox 1"/>
            <xdr:cNvSpPr txBox="1"/>
          </xdr:nvSpPr>
          <xdr:spPr>
            <a:xfrm>
              <a:off x="831855" y="625476"/>
              <a:ext cx="91440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en-US" sz="1400" b="0" i="0">
                  <a:latin typeface="Cambria Math"/>
                </a:rPr>
                <a:t>𝑃_𝑚</a:t>
              </a:r>
              <a:r>
                <a:rPr lang="en-US" sz="1400" b="0" i="0">
                  <a:latin typeface="Cambria Math"/>
                  <a:ea typeface="Cambria Math"/>
                </a:rPr>
                <a:t>≤𝑆</a:t>
              </a:r>
              <a:endParaRPr lang="en-US" sz="1400" b="0" i="1"/>
            </a:p>
          </xdr:txBody>
        </xdr:sp>
      </mc:Fallback>
    </mc:AlternateContent>
    <xdr:clientData/>
  </xdr:oneCellAnchor>
  <xdr:oneCellAnchor>
    <xdr:from>
      <xdr:col>0</xdr:col>
      <xdr:colOff>19050</xdr:colOff>
      <xdr:row>4</xdr:row>
      <xdr:rowOff>9525</xdr:rowOff>
    </xdr:from>
    <xdr:ext cx="1121833" cy="311496"/>
    <mc:AlternateContent xmlns:mc="http://schemas.openxmlformats.org/markup-compatibility/2006" xmlns:a14="http://schemas.microsoft.com/office/drawing/2010/main">
      <mc:Choice Requires="a14">
        <xdr:sp macro="" textlink="">
          <xdr:nvSpPr>
            <xdr:cNvPr id="3" name="TextBox 2"/>
            <xdr:cNvSpPr txBox="1"/>
          </xdr:nvSpPr>
          <xdr:spPr>
            <a:xfrm>
              <a:off x="800100" y="990600"/>
              <a:ext cx="112183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n-US" sz="1400" b="0" i="1">
                            <a:latin typeface="Cambria Math" panose="02040503050406030204" pitchFamily="18" charset="0"/>
                          </a:rPr>
                        </m:ctrlPr>
                      </m:sSubPr>
                      <m:e>
                        <m:r>
                          <a:rPr lang="en-US" sz="1400" b="0" i="1">
                            <a:latin typeface="Cambria Math"/>
                          </a:rPr>
                          <m:t>𝑃</m:t>
                        </m:r>
                      </m:e>
                      <m:sub>
                        <m:r>
                          <a:rPr lang="en-US" sz="1400" b="0" i="1">
                            <a:latin typeface="Cambria Math"/>
                          </a:rPr>
                          <m:t>𝐿</m:t>
                        </m:r>
                      </m:sub>
                    </m:sSub>
                    <m:r>
                      <a:rPr lang="en-US" sz="1400" b="0" i="1">
                        <a:latin typeface="Cambria Math"/>
                        <a:ea typeface="Cambria Math"/>
                      </a:rPr>
                      <m:t>≤1.5</m:t>
                    </m:r>
                    <m:r>
                      <a:rPr lang="en-US" sz="1400" b="0" i="1">
                        <a:latin typeface="Cambria Math"/>
                        <a:ea typeface="Cambria Math"/>
                      </a:rPr>
                      <m:t>𝑆</m:t>
                    </m:r>
                  </m:oMath>
                </m:oMathPara>
              </a14:m>
              <a:endParaRPr lang="en-US" sz="1400" b="0" i="1"/>
            </a:p>
          </xdr:txBody>
        </xdr:sp>
      </mc:Choice>
      <mc:Fallback xmlns="">
        <xdr:sp macro="" textlink="">
          <xdr:nvSpPr>
            <xdr:cNvPr id="3" name="TextBox 2"/>
            <xdr:cNvSpPr txBox="1"/>
          </xdr:nvSpPr>
          <xdr:spPr>
            <a:xfrm>
              <a:off x="800100" y="990600"/>
              <a:ext cx="112183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400" b="0" i="0">
                  <a:latin typeface="Cambria Math"/>
                </a:rPr>
                <a:t>𝑃_𝐿</a:t>
              </a:r>
              <a:r>
                <a:rPr lang="en-US" sz="1400" b="0" i="0">
                  <a:latin typeface="Cambria Math"/>
                  <a:ea typeface="Cambria Math"/>
                </a:rPr>
                <a:t>≤1.5𝑆</a:t>
              </a:r>
              <a:endParaRPr lang="en-US" sz="1400" b="0" i="1"/>
            </a:p>
          </xdr:txBody>
        </xdr:sp>
      </mc:Fallback>
    </mc:AlternateContent>
    <xdr:clientData/>
  </xdr:oneCellAnchor>
  <xdr:oneCellAnchor>
    <xdr:from>
      <xdr:col>0</xdr:col>
      <xdr:colOff>0</xdr:colOff>
      <xdr:row>6</xdr:row>
      <xdr:rowOff>19050</xdr:rowOff>
    </xdr:from>
    <xdr:ext cx="1566340" cy="311496"/>
    <mc:AlternateContent xmlns:mc="http://schemas.openxmlformats.org/markup-compatibility/2006" xmlns:a14="http://schemas.microsoft.com/office/drawing/2010/main">
      <mc:Choice Requires="a14">
        <xdr:sp macro="" textlink="">
          <xdr:nvSpPr>
            <xdr:cNvPr id="4" name="TextBox 3"/>
            <xdr:cNvSpPr txBox="1"/>
          </xdr:nvSpPr>
          <xdr:spPr>
            <a:xfrm>
              <a:off x="0" y="1190625"/>
              <a:ext cx="156634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n-US" sz="1400" b="0" i="1">
                            <a:latin typeface="Cambria Math" panose="02040503050406030204" pitchFamily="18" charset="0"/>
                          </a:rPr>
                        </m:ctrlPr>
                      </m:sSubPr>
                      <m:e>
                        <m:r>
                          <a:rPr lang="en-US" sz="1400" b="0" i="1">
                            <a:latin typeface="Cambria Math"/>
                          </a:rPr>
                          <m:t>𝑃</m:t>
                        </m:r>
                      </m:e>
                      <m:sub>
                        <m:r>
                          <a:rPr lang="en-US" sz="1400" b="0" i="1">
                            <a:latin typeface="Cambria Math"/>
                          </a:rPr>
                          <m:t>𝑚</m:t>
                        </m:r>
                      </m:sub>
                    </m:sSub>
                    <m:r>
                      <a:rPr lang="en-US" sz="1400" b="0" i="1">
                        <a:latin typeface="Cambria Math"/>
                      </a:rPr>
                      <m:t>+</m:t>
                    </m:r>
                    <m:r>
                      <a:rPr lang="en-US" sz="1400" b="0" i="1">
                        <a:latin typeface="Cambria Math"/>
                      </a:rPr>
                      <m:t>𝑄</m:t>
                    </m:r>
                    <m:r>
                      <a:rPr lang="en-US" sz="1400" b="0" i="1">
                        <a:latin typeface="Cambria Math"/>
                        <a:ea typeface="Cambria Math"/>
                      </a:rPr>
                      <m:t>≤3</m:t>
                    </m:r>
                    <m:r>
                      <a:rPr lang="en-US" sz="1400" b="0" i="1">
                        <a:latin typeface="Cambria Math"/>
                        <a:ea typeface="Cambria Math"/>
                      </a:rPr>
                      <m:t>𝑆</m:t>
                    </m:r>
                  </m:oMath>
                </m:oMathPara>
              </a14:m>
              <a:endParaRPr lang="en-US" sz="1400" b="0" i="1"/>
            </a:p>
          </xdr:txBody>
        </xdr:sp>
      </mc:Choice>
      <mc:Fallback xmlns="">
        <xdr:sp macro="" textlink="">
          <xdr:nvSpPr>
            <xdr:cNvPr id="4" name="TextBox 3"/>
            <xdr:cNvSpPr txBox="1"/>
          </xdr:nvSpPr>
          <xdr:spPr>
            <a:xfrm>
              <a:off x="0" y="1190625"/>
              <a:ext cx="156634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400" b="0" i="0">
                  <a:latin typeface="Cambria Math"/>
                </a:rPr>
                <a:t>𝑃_𝑚+𝑄</a:t>
              </a:r>
              <a:r>
                <a:rPr lang="en-US" sz="1400" b="0" i="0">
                  <a:latin typeface="Cambria Math"/>
                  <a:ea typeface="Cambria Math"/>
                </a:rPr>
                <a:t>≤3𝑆</a:t>
              </a:r>
              <a:endParaRPr lang="en-US" sz="1400" b="0" i="1"/>
            </a:p>
          </xdr:txBody>
        </xdr:sp>
      </mc:Fallback>
    </mc:AlternateContent>
    <xdr:clientData/>
  </xdr:oneCellAnchor>
  <xdr:oneCellAnchor>
    <xdr:from>
      <xdr:col>0</xdr:col>
      <xdr:colOff>0</xdr:colOff>
      <xdr:row>8</xdr:row>
      <xdr:rowOff>9525</xdr:rowOff>
    </xdr:from>
    <xdr:ext cx="1566340" cy="311496"/>
    <mc:AlternateContent xmlns:mc="http://schemas.openxmlformats.org/markup-compatibility/2006" xmlns:a14="http://schemas.microsoft.com/office/drawing/2010/main">
      <mc:Choice Requires="a14">
        <xdr:sp macro="" textlink="">
          <xdr:nvSpPr>
            <xdr:cNvPr id="5" name="TextBox 4"/>
            <xdr:cNvSpPr txBox="1"/>
          </xdr:nvSpPr>
          <xdr:spPr>
            <a:xfrm>
              <a:off x="0" y="1571625"/>
              <a:ext cx="156634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n-US" sz="1400" b="0" i="1">
                            <a:latin typeface="Cambria Math" panose="02040503050406030204" pitchFamily="18" charset="0"/>
                          </a:rPr>
                        </m:ctrlPr>
                      </m:sSubPr>
                      <m:e>
                        <m:r>
                          <a:rPr lang="en-US" sz="1400" b="0" i="1">
                            <a:latin typeface="Cambria Math"/>
                          </a:rPr>
                          <m:t>𝑃</m:t>
                        </m:r>
                      </m:e>
                      <m:sub>
                        <m:r>
                          <a:rPr lang="en-US" sz="1400" b="0" i="1">
                            <a:latin typeface="Cambria Math"/>
                          </a:rPr>
                          <m:t>𝐿</m:t>
                        </m:r>
                      </m:sub>
                    </m:sSub>
                    <m:r>
                      <a:rPr lang="en-US" sz="1400" b="0" i="1">
                        <a:latin typeface="Cambria Math"/>
                      </a:rPr>
                      <m:t>+</m:t>
                    </m:r>
                    <m:r>
                      <a:rPr lang="en-US" sz="1400" b="0" i="1">
                        <a:latin typeface="Cambria Math"/>
                      </a:rPr>
                      <m:t>𝑄</m:t>
                    </m:r>
                    <m:r>
                      <a:rPr lang="en-US" sz="1400" b="0" i="1">
                        <a:latin typeface="Cambria Math"/>
                        <a:ea typeface="Cambria Math"/>
                      </a:rPr>
                      <m:t>≤3</m:t>
                    </m:r>
                    <m:r>
                      <a:rPr lang="en-US" sz="1400" b="0" i="1">
                        <a:latin typeface="Cambria Math"/>
                        <a:ea typeface="Cambria Math"/>
                      </a:rPr>
                      <m:t>𝑆</m:t>
                    </m:r>
                  </m:oMath>
                </m:oMathPara>
              </a14:m>
              <a:endParaRPr lang="en-US" sz="1400" b="0" i="1"/>
            </a:p>
          </xdr:txBody>
        </xdr:sp>
      </mc:Choice>
      <mc:Fallback xmlns="">
        <xdr:sp macro="" textlink="">
          <xdr:nvSpPr>
            <xdr:cNvPr id="5" name="TextBox 4"/>
            <xdr:cNvSpPr txBox="1"/>
          </xdr:nvSpPr>
          <xdr:spPr>
            <a:xfrm>
              <a:off x="0" y="1571625"/>
              <a:ext cx="156634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400" b="0" i="0">
                  <a:latin typeface="Cambria Math"/>
                </a:rPr>
                <a:t>𝑃_𝐿+𝑄</a:t>
              </a:r>
              <a:r>
                <a:rPr lang="en-US" sz="1400" b="0" i="0">
                  <a:latin typeface="Cambria Math"/>
                  <a:ea typeface="Cambria Math"/>
                </a:rPr>
                <a:t>≤3𝑆</a:t>
              </a:r>
              <a:endParaRPr lang="en-US" sz="1400" b="0" i="1"/>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1"/>
  <sheetViews>
    <sheetView tabSelected="1" topLeftCell="A40" zoomScale="80" zoomScaleNormal="80" workbookViewId="0">
      <selection activeCell="M11" sqref="M11:M12"/>
    </sheetView>
  </sheetViews>
  <sheetFormatPr defaultRowHeight="15" x14ac:dyDescent="0.25"/>
  <cols>
    <col min="4" max="4" width="21.5703125" customWidth="1"/>
    <col min="6" max="6" width="10.5703125" customWidth="1"/>
    <col min="8" max="8" width="12.28515625" customWidth="1"/>
    <col min="11" max="11" width="19.7109375" customWidth="1"/>
    <col min="13" max="13" width="12.28515625" customWidth="1"/>
    <col min="16" max="16" width="24" customWidth="1"/>
    <col min="17" max="17" width="11.85546875" customWidth="1"/>
  </cols>
  <sheetData>
    <row r="1" spans="1:17" x14ac:dyDescent="0.25">
      <c r="A1" s="340" t="s">
        <v>257</v>
      </c>
      <c r="B1" s="341"/>
      <c r="C1" s="341"/>
      <c r="D1" s="341"/>
      <c r="E1" s="342"/>
      <c r="F1" s="346" t="s">
        <v>0</v>
      </c>
      <c r="G1" s="347"/>
      <c r="H1" s="347"/>
      <c r="I1" s="347"/>
      <c r="J1" s="347"/>
      <c r="K1" s="347"/>
      <c r="L1" s="347"/>
      <c r="M1" s="348"/>
      <c r="N1" s="193" t="s">
        <v>268</v>
      </c>
      <c r="O1" s="194"/>
      <c r="P1" s="194"/>
      <c r="Q1" s="195"/>
    </row>
    <row r="2" spans="1:17" ht="24" customHeight="1" thickBot="1" x14ac:dyDescent="0.3">
      <c r="A2" s="343"/>
      <c r="B2" s="344"/>
      <c r="C2" s="344"/>
      <c r="D2" s="344"/>
      <c r="E2" s="345"/>
      <c r="F2" s="349"/>
      <c r="G2" s="350"/>
      <c r="H2" s="350"/>
      <c r="I2" s="350"/>
      <c r="J2" s="350"/>
      <c r="K2" s="350"/>
      <c r="L2" s="350"/>
      <c r="M2" s="351"/>
      <c r="N2" s="189" t="s">
        <v>10</v>
      </c>
      <c r="O2" s="190"/>
      <c r="P2" s="191" t="s">
        <v>11</v>
      </c>
      <c r="Q2" s="192"/>
    </row>
    <row r="3" spans="1:17" x14ac:dyDescent="0.25">
      <c r="A3" s="355" t="s">
        <v>1</v>
      </c>
      <c r="B3" s="358" t="s">
        <v>6</v>
      </c>
      <c r="C3" s="359"/>
      <c r="D3" s="359"/>
      <c r="E3" s="359"/>
      <c r="F3" s="257"/>
      <c r="G3" s="258"/>
      <c r="H3" s="258"/>
      <c r="I3" s="272"/>
      <c r="J3" s="288" t="s">
        <v>12</v>
      </c>
      <c r="K3" s="289"/>
      <c r="L3" s="289"/>
      <c r="M3" s="290"/>
      <c r="N3" s="211"/>
      <c r="O3" s="212"/>
      <c r="P3" s="212"/>
      <c r="Q3" s="213"/>
    </row>
    <row r="4" spans="1:17" x14ac:dyDescent="0.25">
      <c r="A4" s="356"/>
      <c r="B4" s="367" t="s">
        <v>2</v>
      </c>
      <c r="C4" s="368"/>
      <c r="D4" s="369"/>
      <c r="E4" s="123">
        <v>609.6</v>
      </c>
      <c r="F4" s="273"/>
      <c r="G4" s="274"/>
      <c r="H4" s="274"/>
      <c r="I4" s="275"/>
      <c r="J4" s="265"/>
      <c r="K4" s="266"/>
      <c r="L4" s="266"/>
      <c r="M4" s="291"/>
      <c r="N4" s="214"/>
      <c r="O4" s="215"/>
      <c r="P4" s="215"/>
      <c r="Q4" s="216"/>
    </row>
    <row r="5" spans="1:17" x14ac:dyDescent="0.25">
      <c r="A5" s="356"/>
      <c r="B5" s="209" t="s">
        <v>3</v>
      </c>
      <c r="C5" s="210"/>
      <c r="D5" s="373"/>
      <c r="E5" s="123">
        <v>9.5250000000000004</v>
      </c>
      <c r="F5" s="273"/>
      <c r="G5" s="274"/>
      <c r="H5" s="274"/>
      <c r="I5" s="275"/>
      <c r="J5" s="209" t="s">
        <v>13</v>
      </c>
      <c r="K5" s="210"/>
      <c r="L5" s="210"/>
      <c r="M5" s="75"/>
      <c r="N5" s="214"/>
      <c r="O5" s="215"/>
      <c r="P5" s="215"/>
      <c r="Q5" s="216"/>
    </row>
    <row r="6" spans="1:17" x14ac:dyDescent="0.25">
      <c r="A6" s="356"/>
      <c r="B6" s="209" t="s">
        <v>4</v>
      </c>
      <c r="C6" s="210"/>
      <c r="D6" s="373"/>
      <c r="E6" s="123">
        <v>12.5</v>
      </c>
      <c r="F6" s="273"/>
      <c r="G6" s="274"/>
      <c r="H6" s="274"/>
      <c r="I6" s="275"/>
      <c r="J6" s="209" t="s">
        <v>14</v>
      </c>
      <c r="K6" s="210"/>
      <c r="L6" s="210"/>
      <c r="M6" s="126">
        <v>1000</v>
      </c>
      <c r="N6" s="214"/>
      <c r="O6" s="215"/>
      <c r="P6" s="215"/>
      <c r="Q6" s="216"/>
    </row>
    <row r="7" spans="1:17" x14ac:dyDescent="0.25">
      <c r="A7" s="356"/>
      <c r="B7" s="325" t="s">
        <v>5</v>
      </c>
      <c r="C7" s="285"/>
      <c r="D7" s="352"/>
      <c r="E7" s="123">
        <v>1.6</v>
      </c>
      <c r="F7" s="273"/>
      <c r="G7" s="274"/>
      <c r="H7" s="274"/>
      <c r="I7" s="275"/>
      <c r="J7" s="251" t="s">
        <v>15</v>
      </c>
      <c r="K7" s="252"/>
      <c r="L7" s="252"/>
      <c r="M7" s="253"/>
      <c r="N7" s="214"/>
      <c r="O7" s="215"/>
      <c r="P7" s="215"/>
      <c r="Q7" s="216"/>
    </row>
    <row r="8" spans="1:17" x14ac:dyDescent="0.25">
      <c r="A8" s="356"/>
      <c r="B8" s="338" t="s">
        <v>7</v>
      </c>
      <c r="C8" s="339"/>
      <c r="D8" s="339"/>
      <c r="E8" s="339"/>
      <c r="F8" s="273"/>
      <c r="G8" s="274"/>
      <c r="H8" s="274"/>
      <c r="I8" s="275"/>
      <c r="J8" s="265"/>
      <c r="K8" s="266"/>
      <c r="L8" s="138" t="s">
        <v>50</v>
      </c>
      <c r="M8" s="139" t="s">
        <v>51</v>
      </c>
      <c r="N8" s="214"/>
      <c r="O8" s="215"/>
      <c r="P8" s="215"/>
      <c r="Q8" s="216"/>
    </row>
    <row r="9" spans="1:17" x14ac:dyDescent="0.25">
      <c r="A9" s="356"/>
      <c r="B9" s="367" t="s">
        <v>9</v>
      </c>
      <c r="C9" s="368"/>
      <c r="D9" s="369"/>
      <c r="E9" s="75"/>
      <c r="F9" s="273"/>
      <c r="G9" s="274"/>
      <c r="H9" s="274"/>
      <c r="I9" s="275"/>
      <c r="J9" s="360" t="s">
        <v>26</v>
      </c>
      <c r="K9" s="362"/>
      <c r="L9" s="124">
        <v>5</v>
      </c>
      <c r="M9" s="126">
        <v>5</v>
      </c>
      <c r="N9" s="214"/>
      <c r="O9" s="215"/>
      <c r="P9" s="215"/>
      <c r="Q9" s="216"/>
    </row>
    <row r="10" spans="1:17" ht="20.25" customHeight="1" x14ac:dyDescent="0.25">
      <c r="A10" s="356"/>
      <c r="B10" s="370" t="s">
        <v>8</v>
      </c>
      <c r="C10" s="371"/>
      <c r="D10" s="372"/>
      <c r="E10" s="125">
        <v>137.9</v>
      </c>
      <c r="F10" s="273"/>
      <c r="G10" s="274"/>
      <c r="H10" s="274"/>
      <c r="I10" s="275"/>
      <c r="J10" s="226" t="s">
        <v>27</v>
      </c>
      <c r="K10" s="228"/>
      <c r="L10" s="145">
        <v>2</v>
      </c>
      <c r="M10" s="137">
        <v>2</v>
      </c>
      <c r="N10" s="214"/>
      <c r="O10" s="215"/>
      <c r="P10" s="215"/>
      <c r="Q10" s="216"/>
    </row>
    <row r="11" spans="1:17" x14ac:dyDescent="0.25">
      <c r="A11" s="356"/>
      <c r="B11" s="360" t="s">
        <v>136</v>
      </c>
      <c r="C11" s="361"/>
      <c r="D11" s="362"/>
      <c r="E11" s="125">
        <v>137.9</v>
      </c>
      <c r="F11" s="273"/>
      <c r="G11" s="274"/>
      <c r="H11" s="274"/>
      <c r="I11" s="275"/>
      <c r="J11" s="363" t="s">
        <v>28</v>
      </c>
      <c r="K11" s="364"/>
      <c r="L11" s="286">
        <v>1</v>
      </c>
      <c r="M11" s="263">
        <v>1</v>
      </c>
      <c r="N11" s="214"/>
      <c r="O11" s="215"/>
      <c r="P11" s="215"/>
      <c r="Q11" s="216"/>
    </row>
    <row r="12" spans="1:17" ht="20.25" customHeight="1" thickBot="1" x14ac:dyDescent="0.3">
      <c r="A12" s="357"/>
      <c r="B12" s="353"/>
      <c r="C12" s="335"/>
      <c r="D12" s="354"/>
      <c r="E12" s="75"/>
      <c r="F12" s="276"/>
      <c r="G12" s="277"/>
      <c r="H12" s="277"/>
      <c r="I12" s="278"/>
      <c r="J12" s="365"/>
      <c r="K12" s="366"/>
      <c r="L12" s="287"/>
      <c r="M12" s="264"/>
      <c r="N12" s="217"/>
      <c r="O12" s="218"/>
      <c r="P12" s="218"/>
      <c r="Q12" s="219"/>
    </row>
    <row r="13" spans="1:17" x14ac:dyDescent="0.25">
      <c r="A13" s="320" t="s">
        <v>16</v>
      </c>
      <c r="B13" s="447" t="s">
        <v>17</v>
      </c>
      <c r="C13" s="448"/>
      <c r="D13" s="448"/>
      <c r="E13" s="449"/>
      <c r="F13" s="447" t="s">
        <v>18</v>
      </c>
      <c r="G13" s="448"/>
      <c r="H13" s="448"/>
      <c r="I13" s="449"/>
      <c r="J13" s="303" t="s">
        <v>19</v>
      </c>
      <c r="K13" s="304"/>
      <c r="L13" s="304"/>
      <c r="M13" s="319"/>
      <c r="N13" s="303" t="s">
        <v>20</v>
      </c>
      <c r="O13" s="304"/>
      <c r="P13" s="304"/>
      <c r="Q13" s="305"/>
    </row>
    <row r="14" spans="1:17" x14ac:dyDescent="0.25">
      <c r="A14" s="321"/>
      <c r="B14" s="273"/>
      <c r="C14" s="274"/>
      <c r="D14" s="274"/>
      <c r="E14" s="306"/>
      <c r="F14" s="273"/>
      <c r="G14" s="274"/>
      <c r="H14" s="274"/>
      <c r="I14" s="306"/>
      <c r="J14" s="273"/>
      <c r="K14" s="274"/>
      <c r="L14" s="274"/>
      <c r="M14" s="306"/>
      <c r="N14" s="273" t="s">
        <v>85</v>
      </c>
      <c r="O14" s="274"/>
      <c r="P14" s="274"/>
      <c r="Q14" s="275"/>
    </row>
    <row r="15" spans="1:17" x14ac:dyDescent="0.25">
      <c r="A15" s="321"/>
      <c r="B15" s="273"/>
      <c r="C15" s="274"/>
      <c r="D15" s="274"/>
      <c r="E15" s="306"/>
      <c r="F15" s="273"/>
      <c r="G15" s="274"/>
      <c r="H15" s="274"/>
      <c r="I15" s="306"/>
      <c r="J15" s="273"/>
      <c r="K15" s="274"/>
      <c r="L15" s="274"/>
      <c r="M15" s="306"/>
      <c r="N15" s="273"/>
      <c r="O15" s="274"/>
      <c r="P15" s="274"/>
      <c r="Q15" s="275"/>
    </row>
    <row r="16" spans="1:17" x14ac:dyDescent="0.25">
      <c r="A16" s="321"/>
      <c r="B16" s="273"/>
      <c r="C16" s="274"/>
      <c r="D16" s="274"/>
      <c r="E16" s="306"/>
      <c r="F16" s="273"/>
      <c r="G16" s="274"/>
      <c r="H16" s="274"/>
      <c r="I16" s="306"/>
      <c r="J16" s="273"/>
      <c r="K16" s="274"/>
      <c r="L16" s="274"/>
      <c r="M16" s="306"/>
      <c r="N16" s="273"/>
      <c r="O16" s="274"/>
      <c r="P16" s="274"/>
      <c r="Q16" s="275"/>
    </row>
    <row r="17" spans="1:17" x14ac:dyDescent="0.25">
      <c r="A17" s="321"/>
      <c r="B17" s="273"/>
      <c r="C17" s="274"/>
      <c r="D17" s="274"/>
      <c r="E17" s="306"/>
      <c r="F17" s="273"/>
      <c r="G17" s="274"/>
      <c r="H17" s="274"/>
      <c r="I17" s="306"/>
      <c r="J17" s="273"/>
      <c r="K17" s="274"/>
      <c r="L17" s="274"/>
      <c r="M17" s="306"/>
      <c r="N17" s="273"/>
      <c r="O17" s="274"/>
      <c r="P17" s="274"/>
      <c r="Q17" s="275"/>
    </row>
    <row r="18" spans="1:17" x14ac:dyDescent="0.25">
      <c r="A18" s="321"/>
      <c r="B18" s="273"/>
      <c r="C18" s="274"/>
      <c r="D18" s="274"/>
      <c r="E18" s="306"/>
      <c r="F18" s="273"/>
      <c r="G18" s="274"/>
      <c r="H18" s="274"/>
      <c r="I18" s="306"/>
      <c r="J18" s="273"/>
      <c r="K18" s="274"/>
      <c r="L18" s="274"/>
      <c r="M18" s="306"/>
      <c r="N18" s="273"/>
      <c r="O18" s="274"/>
      <c r="P18" s="274"/>
      <c r="Q18" s="275"/>
    </row>
    <row r="19" spans="1:17" x14ac:dyDescent="0.25">
      <c r="A19" s="321"/>
      <c r="B19" s="273"/>
      <c r="C19" s="274"/>
      <c r="D19" s="274"/>
      <c r="E19" s="306"/>
      <c r="F19" s="273"/>
      <c r="G19" s="274"/>
      <c r="H19" s="274"/>
      <c r="I19" s="306"/>
      <c r="J19" s="273"/>
      <c r="K19" s="274"/>
      <c r="L19" s="274"/>
      <c r="M19" s="306"/>
      <c r="N19" s="273"/>
      <c r="O19" s="274"/>
      <c r="P19" s="274"/>
      <c r="Q19" s="275"/>
    </row>
    <row r="20" spans="1:17" x14ac:dyDescent="0.25">
      <c r="A20" s="321"/>
      <c r="B20" s="273"/>
      <c r="C20" s="274"/>
      <c r="D20" s="274"/>
      <c r="E20" s="306"/>
      <c r="F20" s="273"/>
      <c r="G20" s="274"/>
      <c r="H20" s="274"/>
      <c r="I20" s="306"/>
      <c r="J20" s="273"/>
      <c r="K20" s="274"/>
      <c r="L20" s="274"/>
      <c r="M20" s="306"/>
      <c r="N20" s="273"/>
      <c r="O20" s="274"/>
      <c r="P20" s="274"/>
      <c r="Q20" s="275"/>
    </row>
    <row r="21" spans="1:17" x14ac:dyDescent="0.25">
      <c r="A21" s="321"/>
      <c r="B21" s="273"/>
      <c r="C21" s="274"/>
      <c r="D21" s="274"/>
      <c r="E21" s="306"/>
      <c r="F21" s="273"/>
      <c r="G21" s="274"/>
      <c r="H21" s="274"/>
      <c r="I21" s="306"/>
      <c r="J21" s="273"/>
      <c r="K21" s="274"/>
      <c r="L21" s="274"/>
      <c r="M21" s="306"/>
      <c r="N21" s="273"/>
      <c r="O21" s="274"/>
      <c r="P21" s="274"/>
      <c r="Q21" s="275"/>
    </row>
    <row r="22" spans="1:17" x14ac:dyDescent="0.25">
      <c r="A22" s="321"/>
      <c r="B22" s="273"/>
      <c r="C22" s="274"/>
      <c r="D22" s="274"/>
      <c r="E22" s="306"/>
      <c r="F22" s="273"/>
      <c r="G22" s="274"/>
      <c r="H22" s="274"/>
      <c r="I22" s="306"/>
      <c r="J22" s="273"/>
      <c r="K22" s="274"/>
      <c r="L22" s="274"/>
      <c r="M22" s="306"/>
      <c r="N22" s="273"/>
      <c r="O22" s="274"/>
      <c r="P22" s="274"/>
      <c r="Q22" s="275"/>
    </row>
    <row r="23" spans="1:17" x14ac:dyDescent="0.25">
      <c r="A23" s="321"/>
      <c r="B23" s="273"/>
      <c r="C23" s="274"/>
      <c r="D23" s="274"/>
      <c r="E23" s="306"/>
      <c r="F23" s="273"/>
      <c r="G23" s="274"/>
      <c r="H23" s="274"/>
      <c r="I23" s="306"/>
      <c r="J23" s="273"/>
      <c r="K23" s="274"/>
      <c r="L23" s="274"/>
      <c r="M23" s="306"/>
      <c r="N23" s="273"/>
      <c r="O23" s="274"/>
      <c r="P23" s="274"/>
      <c r="Q23" s="275"/>
    </row>
    <row r="24" spans="1:17" x14ac:dyDescent="0.25">
      <c r="A24" s="321"/>
      <c r="B24" s="261" t="s">
        <v>21</v>
      </c>
      <c r="C24" s="262"/>
      <c r="D24" s="262"/>
      <c r="E24" s="326">
        <v>355.6</v>
      </c>
      <c r="F24" s="261" t="s">
        <v>24</v>
      </c>
      <c r="G24" s="262"/>
      <c r="H24" s="262"/>
      <c r="I24" s="326">
        <v>210</v>
      </c>
      <c r="J24" s="261" t="s">
        <v>24</v>
      </c>
      <c r="K24" s="262"/>
      <c r="L24" s="262"/>
      <c r="M24" s="326">
        <v>200</v>
      </c>
      <c r="N24" s="261" t="s">
        <v>24</v>
      </c>
      <c r="O24" s="262"/>
      <c r="P24" s="262"/>
      <c r="Q24" s="126">
        <v>250</v>
      </c>
    </row>
    <row r="25" spans="1:17" x14ac:dyDescent="0.25">
      <c r="A25" s="321"/>
      <c r="B25" s="261"/>
      <c r="C25" s="262"/>
      <c r="D25" s="262"/>
      <c r="E25" s="326"/>
      <c r="F25" s="261"/>
      <c r="G25" s="262"/>
      <c r="H25" s="262"/>
      <c r="I25" s="326"/>
      <c r="J25" s="261"/>
      <c r="K25" s="262"/>
      <c r="L25" s="262"/>
      <c r="M25" s="326"/>
      <c r="N25" s="261" t="s">
        <v>25</v>
      </c>
      <c r="O25" s="262"/>
      <c r="P25" s="262"/>
      <c r="Q25" s="126">
        <v>7</v>
      </c>
    </row>
    <row r="26" spans="1:17" x14ac:dyDescent="0.25">
      <c r="A26" s="321"/>
      <c r="B26" s="261" t="s">
        <v>23</v>
      </c>
      <c r="C26" s="262"/>
      <c r="D26" s="262"/>
      <c r="E26" s="326">
        <v>700</v>
      </c>
      <c r="F26" s="261" t="s">
        <v>25</v>
      </c>
      <c r="G26" s="262"/>
      <c r="H26" s="262"/>
      <c r="I26" s="326">
        <v>6</v>
      </c>
      <c r="J26" s="261" t="s">
        <v>25</v>
      </c>
      <c r="K26" s="262"/>
      <c r="L26" s="262"/>
      <c r="M26" s="125">
        <v>6</v>
      </c>
      <c r="N26" s="261" t="s">
        <v>30</v>
      </c>
      <c r="O26" s="262"/>
      <c r="P26" s="262"/>
      <c r="Q26" s="126">
        <v>125</v>
      </c>
    </row>
    <row r="27" spans="1:17" x14ac:dyDescent="0.25">
      <c r="A27" s="321"/>
      <c r="B27" s="261"/>
      <c r="C27" s="262"/>
      <c r="D27" s="262"/>
      <c r="E27" s="326"/>
      <c r="F27" s="261"/>
      <c r="G27" s="262"/>
      <c r="H27" s="262"/>
      <c r="I27" s="326"/>
      <c r="J27" s="209" t="s">
        <v>29</v>
      </c>
      <c r="K27" s="210"/>
      <c r="L27" s="210"/>
      <c r="M27" s="125">
        <v>240</v>
      </c>
      <c r="N27" s="261" t="s">
        <v>31</v>
      </c>
      <c r="O27" s="262"/>
      <c r="P27" s="262"/>
      <c r="Q27" s="126">
        <v>4</v>
      </c>
    </row>
    <row r="28" spans="1:17" x14ac:dyDescent="0.25">
      <c r="A28" s="321"/>
      <c r="B28" s="261" t="s">
        <v>22</v>
      </c>
      <c r="C28" s="262"/>
      <c r="D28" s="262"/>
      <c r="E28" s="326">
        <v>6</v>
      </c>
      <c r="F28" s="209" t="s">
        <v>33</v>
      </c>
      <c r="G28" s="210"/>
      <c r="H28" s="210"/>
      <c r="I28" s="125">
        <v>700</v>
      </c>
      <c r="J28" s="209" t="s">
        <v>33</v>
      </c>
      <c r="K28" s="210"/>
      <c r="L28" s="210"/>
      <c r="M28" s="125">
        <v>700</v>
      </c>
      <c r="N28" s="261" t="s">
        <v>23</v>
      </c>
      <c r="O28" s="262"/>
      <c r="P28" s="262"/>
      <c r="Q28" s="126">
        <v>700</v>
      </c>
    </row>
    <row r="29" spans="1:17" ht="15.75" thickBot="1" x14ac:dyDescent="0.3">
      <c r="A29" s="321"/>
      <c r="B29" s="261"/>
      <c r="C29" s="262"/>
      <c r="D29" s="262"/>
      <c r="E29" s="326"/>
      <c r="F29" s="209" t="s">
        <v>22</v>
      </c>
      <c r="G29" s="210"/>
      <c r="H29" s="210"/>
      <c r="I29" s="125">
        <v>5</v>
      </c>
      <c r="J29" s="209" t="s">
        <v>22</v>
      </c>
      <c r="K29" s="210"/>
      <c r="L29" s="210"/>
      <c r="M29" s="125">
        <v>7</v>
      </c>
      <c r="N29" s="261" t="s">
        <v>22</v>
      </c>
      <c r="O29" s="262"/>
      <c r="P29" s="262"/>
      <c r="Q29" s="126">
        <v>6</v>
      </c>
    </row>
    <row r="30" spans="1:17" x14ac:dyDescent="0.25">
      <c r="A30" s="445" t="s">
        <v>53</v>
      </c>
      <c r="B30" s="209" t="s">
        <v>36</v>
      </c>
      <c r="C30" s="210"/>
      <c r="D30" s="210"/>
      <c r="E30" s="48">
        <f>Sheet1!B7</f>
        <v>10.943732195509202</v>
      </c>
      <c r="F30" s="209" t="s">
        <v>36</v>
      </c>
      <c r="G30" s="210"/>
      <c r="H30" s="210"/>
      <c r="I30" s="48">
        <f>Sheet1!B15</f>
        <v>2560.8087976833685</v>
      </c>
      <c r="J30" s="261" t="s">
        <v>36</v>
      </c>
      <c r="K30" s="262"/>
      <c r="L30" s="262"/>
      <c r="M30" s="48">
        <f>Sheet1!B23</f>
        <v>50.566844297601243</v>
      </c>
      <c r="N30" s="261" t="s">
        <v>36</v>
      </c>
      <c r="O30" s="262"/>
      <c r="P30" s="262"/>
      <c r="Q30" s="75">
        <f>Sheet1!B31</f>
        <v>98.611042113329887</v>
      </c>
    </row>
    <row r="31" spans="1:17" ht="15.75" thickBot="1" x14ac:dyDescent="0.3">
      <c r="A31" s="446"/>
      <c r="B31" s="209" t="s">
        <v>37</v>
      </c>
      <c r="C31" s="210"/>
      <c r="D31" s="210"/>
      <c r="E31" s="48">
        <f>Sheet1!B8</f>
        <v>6.0143758988995035</v>
      </c>
      <c r="F31" s="209" t="s">
        <v>37</v>
      </c>
      <c r="G31" s="210"/>
      <c r="H31" s="210"/>
      <c r="I31" s="48">
        <f>Sheet1!B16</f>
        <v>1407.3504759918001</v>
      </c>
      <c r="J31" s="261" t="s">
        <v>37</v>
      </c>
      <c r="K31" s="262"/>
      <c r="L31" s="262"/>
      <c r="M31" s="48">
        <f>Sheet1!B24</f>
        <v>27.790154601160346</v>
      </c>
      <c r="N31" s="261" t="s">
        <v>37</v>
      </c>
      <c r="O31" s="262"/>
      <c r="P31" s="262"/>
      <c r="Q31" s="75">
        <f>Sheet1!B32</f>
        <v>54.193931691342854</v>
      </c>
    </row>
    <row r="32" spans="1:17" x14ac:dyDescent="0.25">
      <c r="A32" s="445" t="s">
        <v>52</v>
      </c>
      <c r="B32" s="209" t="s">
        <v>36</v>
      </c>
      <c r="C32" s="210"/>
      <c r="D32" s="210"/>
      <c r="E32" s="48">
        <f>Sheet1!E7</f>
        <v>10.943732195509202</v>
      </c>
      <c r="F32" s="209" t="s">
        <v>36</v>
      </c>
      <c r="G32" s="210"/>
      <c r="H32" s="210"/>
      <c r="I32" s="48">
        <f>Sheet1!E15</f>
        <v>2560.8087976833685</v>
      </c>
      <c r="J32" s="261" t="s">
        <v>36</v>
      </c>
      <c r="K32" s="262"/>
      <c r="L32" s="262"/>
      <c r="M32" s="48">
        <f>Sheet1!E23</f>
        <v>50.566844297601243</v>
      </c>
      <c r="N32" s="261" t="s">
        <v>36</v>
      </c>
      <c r="O32" s="262"/>
      <c r="P32" s="262"/>
      <c r="Q32" s="75">
        <f>Sheet1!E31</f>
        <v>98.611042113329887</v>
      </c>
    </row>
    <row r="33" spans="1:17" ht="15.75" thickBot="1" x14ac:dyDescent="0.3">
      <c r="A33" s="446"/>
      <c r="B33" s="292" t="s">
        <v>37</v>
      </c>
      <c r="C33" s="293"/>
      <c r="D33" s="293"/>
      <c r="E33" s="74">
        <f>Sheet1!E8</f>
        <v>6.0143758988995035</v>
      </c>
      <c r="F33" s="292" t="s">
        <v>37</v>
      </c>
      <c r="G33" s="293"/>
      <c r="H33" s="293"/>
      <c r="I33" s="74">
        <f>Sheet1!E16</f>
        <v>1407.3504759918001</v>
      </c>
      <c r="J33" s="317" t="s">
        <v>37</v>
      </c>
      <c r="K33" s="318"/>
      <c r="L33" s="318"/>
      <c r="M33" s="74">
        <f>Sheet1!E24</f>
        <v>27.790154601160346</v>
      </c>
      <c r="N33" s="317" t="s">
        <v>37</v>
      </c>
      <c r="O33" s="318"/>
      <c r="P33" s="318"/>
      <c r="Q33" s="11">
        <f>Sheet1!E32</f>
        <v>54.193931691342854</v>
      </c>
    </row>
    <row r="34" spans="1:17" x14ac:dyDescent="0.25">
      <c r="A34" s="320" t="s">
        <v>34</v>
      </c>
      <c r="B34" s="257"/>
      <c r="C34" s="258"/>
      <c r="D34" s="258"/>
      <c r="E34" s="272"/>
      <c r="F34" s="322"/>
      <c r="G34" s="258"/>
      <c r="H34" s="258"/>
      <c r="I34" s="323"/>
      <c r="J34" s="204" t="s">
        <v>221</v>
      </c>
      <c r="K34" s="312"/>
      <c r="L34" s="312"/>
      <c r="M34" s="313"/>
      <c r="N34" s="204" t="s">
        <v>220</v>
      </c>
      <c r="O34" s="311"/>
      <c r="P34" s="312"/>
      <c r="Q34" s="313"/>
    </row>
    <row r="35" spans="1:17" x14ac:dyDescent="0.25">
      <c r="A35" s="321"/>
      <c r="B35" s="273"/>
      <c r="C35" s="274"/>
      <c r="D35" s="274"/>
      <c r="E35" s="275"/>
      <c r="F35" s="324"/>
      <c r="G35" s="274"/>
      <c r="H35" s="274"/>
      <c r="I35" s="306"/>
      <c r="J35" s="205"/>
      <c r="K35" s="280"/>
      <c r="L35" s="280"/>
      <c r="M35" s="281"/>
      <c r="N35" s="205"/>
      <c r="O35" s="279"/>
      <c r="P35" s="280"/>
      <c r="Q35" s="281"/>
    </row>
    <row r="36" spans="1:17" x14ac:dyDescent="0.25">
      <c r="A36" s="321"/>
      <c r="B36" s="273"/>
      <c r="C36" s="274"/>
      <c r="D36" s="274"/>
      <c r="E36" s="275"/>
      <c r="F36" s="324"/>
      <c r="G36" s="274"/>
      <c r="H36" s="274"/>
      <c r="I36" s="306"/>
      <c r="J36" s="205"/>
      <c r="K36" s="280"/>
      <c r="L36" s="280"/>
      <c r="M36" s="281"/>
      <c r="N36" s="205"/>
      <c r="O36" s="279"/>
      <c r="P36" s="280"/>
      <c r="Q36" s="281"/>
    </row>
    <row r="37" spans="1:17" x14ac:dyDescent="0.25">
      <c r="A37" s="321"/>
      <c r="B37" s="273"/>
      <c r="C37" s="274"/>
      <c r="D37" s="274"/>
      <c r="E37" s="275"/>
      <c r="F37" s="324"/>
      <c r="G37" s="274"/>
      <c r="H37" s="274"/>
      <c r="I37" s="306"/>
      <c r="J37" s="205"/>
      <c r="K37" s="280"/>
      <c r="L37" s="280"/>
      <c r="M37" s="281"/>
      <c r="N37" s="205"/>
      <c r="O37" s="279"/>
      <c r="P37" s="280"/>
      <c r="Q37" s="281"/>
    </row>
    <row r="38" spans="1:17" x14ac:dyDescent="0.25">
      <c r="A38" s="321"/>
      <c r="B38" s="273"/>
      <c r="C38" s="274"/>
      <c r="D38" s="274"/>
      <c r="E38" s="275"/>
      <c r="F38" s="324"/>
      <c r="G38" s="274"/>
      <c r="H38" s="274"/>
      <c r="I38" s="306"/>
      <c r="J38" s="205"/>
      <c r="K38" s="280"/>
      <c r="L38" s="280"/>
      <c r="M38" s="281"/>
      <c r="N38" s="205"/>
      <c r="O38" s="279"/>
      <c r="P38" s="280"/>
      <c r="Q38" s="281"/>
    </row>
    <row r="39" spans="1:17" x14ac:dyDescent="0.25">
      <c r="A39" s="321"/>
      <c r="B39" s="273"/>
      <c r="C39" s="274"/>
      <c r="D39" s="274"/>
      <c r="E39" s="275"/>
      <c r="F39" s="324"/>
      <c r="G39" s="274"/>
      <c r="H39" s="274"/>
      <c r="I39" s="306"/>
      <c r="J39" s="205"/>
      <c r="K39" s="280"/>
      <c r="L39" s="280"/>
      <c r="M39" s="281"/>
      <c r="N39" s="205"/>
      <c r="O39" s="279"/>
      <c r="P39" s="280"/>
      <c r="Q39" s="281"/>
    </row>
    <row r="40" spans="1:17" x14ac:dyDescent="0.25">
      <c r="A40" s="321"/>
      <c r="B40" s="273"/>
      <c r="C40" s="274"/>
      <c r="D40" s="274"/>
      <c r="E40" s="275"/>
      <c r="F40" s="324"/>
      <c r="G40" s="274"/>
      <c r="H40" s="274"/>
      <c r="I40" s="306"/>
      <c r="J40" s="205"/>
      <c r="K40" s="280"/>
      <c r="L40" s="280"/>
      <c r="M40" s="281"/>
      <c r="N40" s="205"/>
      <c r="O40" s="279"/>
      <c r="P40" s="280"/>
      <c r="Q40" s="281"/>
    </row>
    <row r="41" spans="1:17" x14ac:dyDescent="0.25">
      <c r="A41" s="321"/>
      <c r="B41" s="273"/>
      <c r="C41" s="274"/>
      <c r="D41" s="274"/>
      <c r="E41" s="275"/>
      <c r="F41" s="324"/>
      <c r="G41" s="274"/>
      <c r="H41" s="274"/>
      <c r="I41" s="306"/>
      <c r="J41" s="205"/>
      <c r="K41" s="280"/>
      <c r="L41" s="280"/>
      <c r="M41" s="281"/>
      <c r="N41" s="205"/>
      <c r="O41" s="279"/>
      <c r="P41" s="280"/>
      <c r="Q41" s="281"/>
    </row>
    <row r="42" spans="1:17" x14ac:dyDescent="0.25">
      <c r="A42" s="321"/>
      <c r="B42" s="273"/>
      <c r="C42" s="274"/>
      <c r="D42" s="274"/>
      <c r="E42" s="275"/>
      <c r="F42" s="324"/>
      <c r="G42" s="274"/>
      <c r="H42" s="274"/>
      <c r="I42" s="306"/>
      <c r="J42" s="205"/>
      <c r="K42" s="280"/>
      <c r="L42" s="280"/>
      <c r="M42" s="281"/>
      <c r="N42" s="205"/>
      <c r="O42" s="279"/>
      <c r="P42" s="280"/>
      <c r="Q42" s="281"/>
    </row>
    <row r="43" spans="1:17" x14ac:dyDescent="0.25">
      <c r="A43" s="321"/>
      <c r="B43" s="259"/>
      <c r="C43" s="260"/>
      <c r="D43" s="260"/>
      <c r="E43" s="275"/>
      <c r="F43" s="324"/>
      <c r="G43" s="274"/>
      <c r="H43" s="274"/>
      <c r="I43" s="306"/>
      <c r="J43" s="205"/>
      <c r="K43" s="315"/>
      <c r="L43" s="315"/>
      <c r="M43" s="316"/>
      <c r="N43" s="205"/>
      <c r="O43" s="314"/>
      <c r="P43" s="315"/>
      <c r="Q43" s="316"/>
    </row>
    <row r="44" spans="1:17" x14ac:dyDescent="0.25">
      <c r="A44" s="321"/>
      <c r="B44" s="209" t="s">
        <v>32</v>
      </c>
      <c r="C44" s="210"/>
      <c r="D44" s="210"/>
      <c r="E44" s="127">
        <v>120</v>
      </c>
      <c r="F44" s="294" t="s">
        <v>32</v>
      </c>
      <c r="G44" s="294"/>
      <c r="H44" s="295"/>
      <c r="I44" s="329">
        <v>120</v>
      </c>
      <c r="J44" s="205"/>
      <c r="K44" s="335" t="s">
        <v>201</v>
      </c>
      <c r="L44" s="335"/>
      <c r="M44" s="125">
        <v>30</v>
      </c>
      <c r="N44" s="205"/>
      <c r="O44" s="296" t="s">
        <v>35</v>
      </c>
      <c r="P44" s="295"/>
      <c r="Q44" s="128">
        <v>6</v>
      </c>
    </row>
    <row r="45" spans="1:17" x14ac:dyDescent="0.25">
      <c r="A45" s="321"/>
      <c r="B45" s="209" t="s">
        <v>80</v>
      </c>
      <c r="C45" s="210"/>
      <c r="D45" s="210"/>
      <c r="E45" s="127">
        <v>4</v>
      </c>
      <c r="F45" s="327"/>
      <c r="G45" s="327"/>
      <c r="H45" s="328"/>
      <c r="I45" s="330"/>
      <c r="J45" s="205"/>
      <c r="K45" s="294" t="s">
        <v>35</v>
      </c>
      <c r="L45" s="295"/>
      <c r="M45" s="127">
        <v>7</v>
      </c>
      <c r="N45" s="205"/>
      <c r="O45" s="307" t="s">
        <v>213</v>
      </c>
      <c r="P45" s="308"/>
      <c r="Q45" s="198">
        <f>'Bare Pipe_combination'!G6</f>
        <v>7.0491855420969367</v>
      </c>
    </row>
    <row r="46" spans="1:17" x14ac:dyDescent="0.25">
      <c r="A46" s="321"/>
      <c r="B46" s="325" t="s">
        <v>249</v>
      </c>
      <c r="C46" s="285"/>
      <c r="D46" s="285"/>
      <c r="E46" s="75">
        <f>Saddle_Zick!P7</f>
        <v>8.8998380572585523E-2</v>
      </c>
      <c r="F46" s="112" t="s">
        <v>80</v>
      </c>
      <c r="G46" s="111"/>
      <c r="H46" s="111"/>
      <c r="I46" s="125">
        <v>7</v>
      </c>
      <c r="J46" s="205"/>
      <c r="K46" s="244" t="s">
        <v>248</v>
      </c>
      <c r="L46" s="245"/>
      <c r="M46" s="199">
        <f>'Bare Pipe_Roark'!E3</f>
        <v>3.3219920961634712</v>
      </c>
      <c r="N46" s="205"/>
      <c r="O46" s="307"/>
      <c r="P46" s="308"/>
      <c r="Q46" s="198"/>
    </row>
    <row r="47" spans="1:17" x14ac:dyDescent="0.25">
      <c r="A47" s="321"/>
      <c r="B47" s="296" t="s">
        <v>172</v>
      </c>
      <c r="C47" s="294"/>
      <c r="D47" s="295"/>
      <c r="E47" s="199">
        <f>Saddle_Zick!P8</f>
        <v>3.4400675668586933</v>
      </c>
      <c r="F47" s="331" t="s">
        <v>37</v>
      </c>
      <c r="G47" s="331"/>
      <c r="H47" s="332"/>
      <c r="I47" s="336">
        <f>'Saddle Roak'!E9</f>
        <v>1.3474829560875139</v>
      </c>
      <c r="J47" s="205"/>
      <c r="K47" s="246"/>
      <c r="L47" s="247"/>
      <c r="M47" s="243"/>
      <c r="N47" s="205"/>
      <c r="O47" s="307" t="s">
        <v>219</v>
      </c>
      <c r="P47" s="308"/>
      <c r="Q47" s="198">
        <f>'Bare Pipe_combination'!H6</f>
        <v>0.13277000403551217</v>
      </c>
    </row>
    <row r="48" spans="1:17" x14ac:dyDescent="0.25">
      <c r="A48" s="321"/>
      <c r="B48" s="297"/>
      <c r="C48" s="298"/>
      <c r="D48" s="299"/>
      <c r="E48" s="250"/>
      <c r="F48" s="333"/>
      <c r="G48" s="333"/>
      <c r="H48" s="334"/>
      <c r="I48" s="337"/>
      <c r="J48" s="205"/>
      <c r="K48" s="244" t="s">
        <v>247</v>
      </c>
      <c r="L48" s="245"/>
      <c r="M48" s="199">
        <f>'Bare Pipe_Roark'!E4</f>
        <v>8.4256483892394055E-2</v>
      </c>
      <c r="N48" s="205"/>
      <c r="O48" s="309"/>
      <c r="P48" s="310"/>
      <c r="Q48" s="199"/>
    </row>
    <row r="49" spans="1:17" x14ac:dyDescent="0.25">
      <c r="A49" s="321"/>
      <c r="B49" s="297"/>
      <c r="C49" s="298"/>
      <c r="D49" s="299"/>
      <c r="E49" s="250"/>
      <c r="F49" s="333"/>
      <c r="G49" s="333"/>
      <c r="H49" s="334"/>
      <c r="I49" s="337"/>
      <c r="J49" s="205"/>
      <c r="K49" s="246"/>
      <c r="L49" s="247"/>
      <c r="M49" s="243"/>
      <c r="N49" s="205"/>
      <c r="O49" s="309"/>
      <c r="P49" s="310"/>
      <c r="Q49" s="199"/>
    </row>
    <row r="50" spans="1:17" x14ac:dyDescent="0.25">
      <c r="A50" s="321"/>
      <c r="B50" s="297"/>
      <c r="C50" s="298"/>
      <c r="D50" s="299"/>
      <c r="E50" s="250"/>
      <c r="F50" s="333"/>
      <c r="G50" s="333"/>
      <c r="H50" s="334"/>
      <c r="I50" s="337"/>
      <c r="J50" s="205"/>
      <c r="K50" s="244" t="s">
        <v>213</v>
      </c>
      <c r="L50" s="245"/>
      <c r="M50" s="199">
        <f>'Bare Pipe_Roark'!C189</f>
        <v>16.388621966234822</v>
      </c>
      <c r="N50" s="205"/>
      <c r="O50" s="309"/>
      <c r="P50" s="310"/>
      <c r="Q50" s="199"/>
    </row>
    <row r="51" spans="1:17" ht="15.75" thickBot="1" x14ac:dyDescent="0.3">
      <c r="A51" s="321"/>
      <c r="B51" s="297"/>
      <c r="C51" s="298"/>
      <c r="D51" s="299"/>
      <c r="E51" s="250"/>
      <c r="F51" s="333"/>
      <c r="G51" s="333"/>
      <c r="H51" s="334"/>
      <c r="I51" s="337"/>
      <c r="J51" s="205"/>
      <c r="K51" s="248"/>
      <c r="L51" s="249"/>
      <c r="M51" s="250"/>
      <c r="N51" s="205"/>
      <c r="O51" s="309"/>
      <c r="P51" s="310"/>
      <c r="Q51" s="199"/>
    </row>
    <row r="52" spans="1:17" x14ac:dyDescent="0.25">
      <c r="A52" s="380" t="s">
        <v>69</v>
      </c>
      <c r="B52" s="381"/>
      <c r="C52" s="381"/>
      <c r="D52" s="381"/>
      <c r="E52" s="381"/>
      <c r="F52" s="381"/>
      <c r="G52" s="381"/>
      <c r="H52" s="381"/>
      <c r="I52" s="381"/>
      <c r="J52" s="381"/>
      <c r="K52" s="381"/>
      <c r="L52" s="381"/>
      <c r="M52" s="381"/>
      <c r="N52" s="381"/>
      <c r="O52" s="381"/>
      <c r="P52" s="381"/>
      <c r="Q52" s="382"/>
    </row>
    <row r="53" spans="1:17" x14ac:dyDescent="0.25">
      <c r="A53" s="383"/>
      <c r="B53" s="384"/>
      <c r="C53" s="384"/>
      <c r="D53" s="384"/>
      <c r="E53" s="384"/>
      <c r="F53" s="384"/>
      <c r="G53" s="384"/>
      <c r="H53" s="384"/>
      <c r="I53" s="384"/>
      <c r="J53" s="384"/>
      <c r="K53" s="384"/>
      <c r="L53" s="384"/>
      <c r="M53" s="384"/>
      <c r="N53" s="384"/>
      <c r="O53" s="384"/>
      <c r="P53" s="384"/>
      <c r="Q53" s="385"/>
    </row>
    <row r="54" spans="1:17" ht="15.75" thickBot="1" x14ac:dyDescent="0.3">
      <c r="A54" s="391"/>
      <c r="B54" s="392"/>
      <c r="C54" s="392"/>
      <c r="D54" s="392"/>
      <c r="E54" s="392"/>
      <c r="F54" s="392"/>
      <c r="G54" s="392"/>
      <c r="H54" s="392"/>
      <c r="I54" s="392"/>
      <c r="J54" s="392"/>
      <c r="K54" s="392"/>
      <c r="L54" s="392"/>
      <c r="M54" s="392"/>
      <c r="N54" s="392"/>
      <c r="O54" s="392"/>
      <c r="P54" s="392"/>
      <c r="Q54" s="393"/>
    </row>
    <row r="55" spans="1:17" x14ac:dyDescent="0.25">
      <c r="A55" s="379" t="s">
        <v>101</v>
      </c>
      <c r="B55" s="374"/>
      <c r="C55" s="374"/>
      <c r="D55" s="374"/>
      <c r="E55" s="374"/>
      <c r="F55" s="374"/>
      <c r="G55" s="374"/>
      <c r="H55" s="374"/>
      <c r="I55" s="375"/>
      <c r="J55" s="379" t="s">
        <v>102</v>
      </c>
      <c r="K55" s="374"/>
      <c r="L55" s="374"/>
      <c r="M55" s="374"/>
      <c r="N55" s="374"/>
      <c r="O55" s="374"/>
      <c r="P55" s="374"/>
      <c r="Q55" s="375"/>
    </row>
    <row r="56" spans="1:17" x14ac:dyDescent="0.25">
      <c r="A56" s="386" t="s">
        <v>66</v>
      </c>
      <c r="B56" s="387"/>
      <c r="C56" s="387"/>
      <c r="D56" s="387"/>
      <c r="E56" s="145">
        <v>400</v>
      </c>
      <c r="F56" s="362" t="s">
        <v>65</v>
      </c>
      <c r="G56" s="210"/>
      <c r="H56" s="210"/>
      <c r="I56" s="137">
        <v>5</v>
      </c>
      <c r="J56" s="388" t="s">
        <v>70</v>
      </c>
      <c r="K56" s="389"/>
      <c r="L56" s="389"/>
      <c r="M56" s="145">
        <v>360</v>
      </c>
      <c r="N56" s="390" t="s">
        <v>71</v>
      </c>
      <c r="O56" s="387"/>
      <c r="P56" s="387"/>
      <c r="Q56" s="137">
        <v>1</v>
      </c>
    </row>
    <row r="57" spans="1:17" x14ac:dyDescent="0.25">
      <c r="A57" s="279"/>
      <c r="B57" s="280"/>
      <c r="C57" s="280"/>
      <c r="D57" s="280"/>
      <c r="E57" s="280"/>
      <c r="F57" s="280"/>
      <c r="G57" s="280"/>
      <c r="H57" s="280"/>
      <c r="I57" s="281"/>
      <c r="J57" s="279"/>
      <c r="K57" s="280"/>
      <c r="L57" s="280"/>
      <c r="M57" s="280"/>
      <c r="N57" s="280"/>
      <c r="O57" s="280"/>
      <c r="P57" s="280"/>
      <c r="Q57" s="281"/>
    </row>
    <row r="58" spans="1:17" x14ac:dyDescent="0.25">
      <c r="A58" s="279"/>
      <c r="B58" s="280"/>
      <c r="C58" s="280"/>
      <c r="D58" s="280"/>
      <c r="E58" s="280"/>
      <c r="F58" s="280"/>
      <c r="G58" s="280"/>
      <c r="H58" s="280"/>
      <c r="I58" s="281"/>
      <c r="J58" s="279"/>
      <c r="K58" s="280"/>
      <c r="L58" s="280"/>
      <c r="M58" s="280"/>
      <c r="N58" s="280"/>
      <c r="O58" s="280"/>
      <c r="P58" s="280"/>
      <c r="Q58" s="281"/>
    </row>
    <row r="59" spans="1:17" x14ac:dyDescent="0.25">
      <c r="A59" s="279"/>
      <c r="B59" s="280"/>
      <c r="C59" s="280"/>
      <c r="D59" s="280"/>
      <c r="E59" s="280"/>
      <c r="F59" s="280"/>
      <c r="G59" s="280"/>
      <c r="H59" s="280"/>
      <c r="I59" s="281"/>
      <c r="J59" s="279"/>
      <c r="K59" s="280"/>
      <c r="L59" s="280"/>
      <c r="M59" s="280"/>
      <c r="N59" s="280"/>
      <c r="O59" s="280"/>
      <c r="P59" s="280"/>
      <c r="Q59" s="281"/>
    </row>
    <row r="60" spans="1:17" x14ac:dyDescent="0.25">
      <c r="A60" s="279"/>
      <c r="B60" s="280"/>
      <c r="C60" s="280"/>
      <c r="D60" s="280"/>
      <c r="E60" s="280"/>
      <c r="F60" s="280"/>
      <c r="G60" s="280"/>
      <c r="H60" s="280"/>
      <c r="I60" s="281"/>
      <c r="J60" s="279"/>
      <c r="K60" s="280"/>
      <c r="L60" s="280"/>
      <c r="M60" s="280"/>
      <c r="N60" s="280"/>
      <c r="O60" s="280"/>
      <c r="P60" s="280"/>
      <c r="Q60" s="281"/>
    </row>
    <row r="61" spans="1:17" x14ac:dyDescent="0.25">
      <c r="A61" s="279"/>
      <c r="B61" s="280"/>
      <c r="C61" s="280"/>
      <c r="D61" s="280"/>
      <c r="E61" s="280"/>
      <c r="F61" s="280"/>
      <c r="G61" s="280"/>
      <c r="H61" s="280"/>
      <c r="I61" s="281"/>
      <c r="J61" s="279"/>
      <c r="K61" s="280"/>
      <c r="L61" s="280"/>
      <c r="M61" s="280"/>
      <c r="N61" s="280"/>
      <c r="O61" s="280"/>
      <c r="P61" s="280"/>
      <c r="Q61" s="281"/>
    </row>
    <row r="62" spans="1:17" x14ac:dyDescent="0.25">
      <c r="A62" s="279"/>
      <c r="B62" s="280"/>
      <c r="C62" s="280"/>
      <c r="D62" s="280"/>
      <c r="E62" s="280"/>
      <c r="F62" s="280"/>
      <c r="G62" s="280"/>
      <c r="H62" s="280"/>
      <c r="I62" s="281"/>
      <c r="J62" s="279"/>
      <c r="K62" s="280"/>
      <c r="L62" s="280"/>
      <c r="M62" s="280"/>
      <c r="N62" s="280"/>
      <c r="O62" s="280"/>
      <c r="P62" s="280"/>
      <c r="Q62" s="281"/>
    </row>
    <row r="63" spans="1:17" x14ac:dyDescent="0.25">
      <c r="A63" s="279"/>
      <c r="B63" s="280"/>
      <c r="C63" s="280"/>
      <c r="D63" s="280"/>
      <c r="E63" s="280"/>
      <c r="F63" s="280"/>
      <c r="G63" s="280"/>
      <c r="H63" s="280"/>
      <c r="I63" s="281"/>
      <c r="J63" s="279"/>
      <c r="K63" s="280"/>
      <c r="L63" s="280"/>
      <c r="M63" s="280"/>
      <c r="N63" s="280"/>
      <c r="O63" s="280"/>
      <c r="P63" s="280"/>
      <c r="Q63" s="281"/>
    </row>
    <row r="64" spans="1:17" x14ac:dyDescent="0.25">
      <c r="A64" s="279"/>
      <c r="B64" s="280"/>
      <c r="C64" s="280"/>
      <c r="D64" s="280"/>
      <c r="E64" s="280"/>
      <c r="F64" s="280"/>
      <c r="G64" s="280"/>
      <c r="H64" s="280"/>
      <c r="I64" s="281"/>
      <c r="J64" s="279"/>
      <c r="K64" s="280"/>
      <c r="L64" s="280"/>
      <c r="M64" s="280"/>
      <c r="N64" s="280"/>
      <c r="O64" s="280"/>
      <c r="P64" s="280"/>
      <c r="Q64" s="281"/>
    </row>
    <row r="65" spans="1:17" x14ac:dyDescent="0.25">
      <c r="A65" s="279"/>
      <c r="B65" s="280"/>
      <c r="C65" s="280"/>
      <c r="D65" s="280"/>
      <c r="E65" s="280"/>
      <c r="F65" s="280"/>
      <c r="G65" s="280"/>
      <c r="H65" s="280"/>
      <c r="I65" s="281"/>
      <c r="J65" s="279"/>
      <c r="K65" s="280"/>
      <c r="L65" s="280"/>
      <c r="M65" s="280"/>
      <c r="N65" s="280"/>
      <c r="O65" s="280"/>
      <c r="P65" s="280"/>
      <c r="Q65" s="281"/>
    </row>
    <row r="66" spans="1:17" x14ac:dyDescent="0.25">
      <c r="A66" s="279"/>
      <c r="B66" s="280"/>
      <c r="C66" s="280"/>
      <c r="D66" s="280"/>
      <c r="E66" s="280"/>
      <c r="F66" s="280"/>
      <c r="G66" s="280"/>
      <c r="H66" s="280"/>
      <c r="I66" s="281"/>
      <c r="J66" s="279"/>
      <c r="K66" s="280"/>
      <c r="L66" s="280"/>
      <c r="M66" s="280"/>
      <c r="N66" s="280"/>
      <c r="O66" s="280"/>
      <c r="P66" s="280"/>
      <c r="Q66" s="281"/>
    </row>
    <row r="67" spans="1:17" x14ac:dyDescent="0.25">
      <c r="A67" s="279"/>
      <c r="B67" s="280"/>
      <c r="C67" s="280"/>
      <c r="D67" s="280"/>
      <c r="E67" s="280"/>
      <c r="F67" s="280"/>
      <c r="G67" s="280"/>
      <c r="H67" s="280"/>
      <c r="I67" s="281"/>
      <c r="J67" s="279"/>
      <c r="K67" s="280"/>
      <c r="L67" s="280"/>
      <c r="M67" s="280"/>
      <c r="N67" s="280"/>
      <c r="O67" s="280"/>
      <c r="P67" s="280"/>
      <c r="Q67" s="281"/>
    </row>
    <row r="68" spans="1:17" x14ac:dyDescent="0.25">
      <c r="A68" s="279"/>
      <c r="B68" s="280"/>
      <c r="C68" s="280"/>
      <c r="D68" s="280"/>
      <c r="E68" s="280"/>
      <c r="F68" s="280"/>
      <c r="G68" s="280"/>
      <c r="H68" s="280"/>
      <c r="I68" s="281"/>
      <c r="J68" s="279"/>
      <c r="K68" s="280"/>
      <c r="L68" s="280"/>
      <c r="M68" s="280"/>
      <c r="N68" s="280"/>
      <c r="O68" s="280"/>
      <c r="P68" s="280"/>
      <c r="Q68" s="281"/>
    </row>
    <row r="69" spans="1:17" x14ac:dyDescent="0.25">
      <c r="A69" s="279"/>
      <c r="B69" s="280"/>
      <c r="C69" s="280"/>
      <c r="D69" s="280"/>
      <c r="E69" s="280"/>
      <c r="F69" s="280"/>
      <c r="G69" s="280"/>
      <c r="H69" s="280"/>
      <c r="I69" s="281"/>
      <c r="J69" s="279"/>
      <c r="K69" s="280"/>
      <c r="L69" s="280"/>
      <c r="M69" s="280"/>
      <c r="N69" s="280"/>
      <c r="O69" s="280"/>
      <c r="P69" s="280"/>
      <c r="Q69" s="281"/>
    </row>
    <row r="70" spans="1:17" x14ac:dyDescent="0.25">
      <c r="A70" s="279"/>
      <c r="B70" s="280"/>
      <c r="C70" s="280"/>
      <c r="D70" s="280"/>
      <c r="E70" s="280"/>
      <c r="F70" s="280"/>
      <c r="G70" s="280"/>
      <c r="H70" s="280"/>
      <c r="I70" s="281"/>
      <c r="J70" s="279"/>
      <c r="K70" s="280"/>
      <c r="L70" s="280"/>
      <c r="M70" s="280"/>
      <c r="N70" s="280"/>
      <c r="O70" s="280"/>
      <c r="P70" s="280"/>
      <c r="Q70" s="281"/>
    </row>
    <row r="71" spans="1:17" x14ac:dyDescent="0.25">
      <c r="A71" s="279"/>
      <c r="B71" s="280"/>
      <c r="C71" s="280"/>
      <c r="D71" s="280"/>
      <c r="E71" s="280"/>
      <c r="F71" s="280"/>
      <c r="G71" s="280"/>
      <c r="H71" s="280"/>
      <c r="I71" s="281"/>
      <c r="J71" s="279"/>
      <c r="K71" s="280"/>
      <c r="L71" s="280"/>
      <c r="M71" s="280"/>
      <c r="N71" s="280"/>
      <c r="O71" s="280"/>
      <c r="P71" s="280"/>
      <c r="Q71" s="281"/>
    </row>
    <row r="72" spans="1:17" x14ac:dyDescent="0.25">
      <c r="A72" s="279"/>
      <c r="B72" s="280"/>
      <c r="C72" s="280"/>
      <c r="D72" s="280"/>
      <c r="E72" s="280"/>
      <c r="F72" s="280"/>
      <c r="G72" s="280"/>
      <c r="H72" s="280"/>
      <c r="I72" s="281"/>
      <c r="J72" s="279"/>
      <c r="K72" s="280"/>
      <c r="L72" s="280"/>
      <c r="M72" s="280"/>
      <c r="N72" s="280"/>
      <c r="O72" s="280"/>
      <c r="P72" s="280"/>
      <c r="Q72" s="281"/>
    </row>
    <row r="73" spans="1:17" ht="15.75" thickBot="1" x14ac:dyDescent="0.3">
      <c r="A73" s="282"/>
      <c r="B73" s="283"/>
      <c r="C73" s="283"/>
      <c r="D73" s="283"/>
      <c r="E73" s="283"/>
      <c r="F73" s="283"/>
      <c r="G73" s="283"/>
      <c r="H73" s="283"/>
      <c r="I73" s="284"/>
      <c r="J73" s="282"/>
      <c r="K73" s="283"/>
      <c r="L73" s="283"/>
      <c r="M73" s="283"/>
      <c r="N73" s="283"/>
      <c r="O73" s="283"/>
      <c r="P73" s="283"/>
      <c r="Q73" s="284"/>
    </row>
    <row r="74" spans="1:17" x14ac:dyDescent="0.25">
      <c r="A74" s="379" t="s">
        <v>103</v>
      </c>
      <c r="B74" s="374"/>
      <c r="C74" s="374"/>
      <c r="D74" s="374"/>
      <c r="E74" s="374"/>
      <c r="F74" s="374"/>
      <c r="G74" s="374"/>
      <c r="H74" s="374"/>
      <c r="I74" s="375"/>
      <c r="J74" s="379" t="s">
        <v>104</v>
      </c>
      <c r="K74" s="374"/>
      <c r="L74" s="374"/>
      <c r="M74" s="374"/>
      <c r="N74" s="374"/>
      <c r="O74" s="374"/>
      <c r="P74" s="374"/>
      <c r="Q74" s="375"/>
    </row>
    <row r="75" spans="1:17" x14ac:dyDescent="0.25">
      <c r="A75" s="386" t="s">
        <v>74</v>
      </c>
      <c r="B75" s="387"/>
      <c r="C75" s="387"/>
      <c r="D75" s="387"/>
      <c r="E75" s="145">
        <v>400</v>
      </c>
      <c r="F75" s="362" t="s">
        <v>73</v>
      </c>
      <c r="G75" s="210"/>
      <c r="H75" s="210"/>
      <c r="I75" s="137">
        <v>1</v>
      </c>
      <c r="J75" s="388" t="s">
        <v>76</v>
      </c>
      <c r="K75" s="389"/>
      <c r="L75" s="389"/>
      <c r="M75" s="145">
        <v>430</v>
      </c>
      <c r="N75" s="390" t="s">
        <v>77</v>
      </c>
      <c r="O75" s="387"/>
      <c r="P75" s="387"/>
      <c r="Q75" s="137">
        <v>5</v>
      </c>
    </row>
    <row r="76" spans="1:17" x14ac:dyDescent="0.25">
      <c r="A76" s="279"/>
      <c r="B76" s="280"/>
      <c r="C76" s="280"/>
      <c r="D76" s="280"/>
      <c r="E76" s="280"/>
      <c r="F76" s="280"/>
      <c r="G76" s="280"/>
      <c r="H76" s="280"/>
      <c r="I76" s="281"/>
      <c r="J76" s="279"/>
      <c r="K76" s="280"/>
      <c r="L76" s="280"/>
      <c r="M76" s="280"/>
      <c r="N76" s="280"/>
      <c r="O76" s="280"/>
      <c r="P76" s="280"/>
      <c r="Q76" s="281"/>
    </row>
    <row r="77" spans="1:17" x14ac:dyDescent="0.25">
      <c r="A77" s="279"/>
      <c r="B77" s="280"/>
      <c r="C77" s="280"/>
      <c r="D77" s="280"/>
      <c r="E77" s="280"/>
      <c r="F77" s="280"/>
      <c r="G77" s="280"/>
      <c r="H77" s="280"/>
      <c r="I77" s="281"/>
      <c r="J77" s="279"/>
      <c r="K77" s="280"/>
      <c r="L77" s="280"/>
      <c r="M77" s="280"/>
      <c r="N77" s="280"/>
      <c r="O77" s="280"/>
      <c r="P77" s="280"/>
      <c r="Q77" s="281"/>
    </row>
    <row r="78" spans="1:17" x14ac:dyDescent="0.25">
      <c r="A78" s="279"/>
      <c r="B78" s="280"/>
      <c r="C78" s="280"/>
      <c r="D78" s="280"/>
      <c r="E78" s="280"/>
      <c r="F78" s="280"/>
      <c r="G78" s="280"/>
      <c r="H78" s="280"/>
      <c r="I78" s="281"/>
      <c r="J78" s="279"/>
      <c r="K78" s="280"/>
      <c r="L78" s="280"/>
      <c r="M78" s="280"/>
      <c r="N78" s="280"/>
      <c r="O78" s="280"/>
      <c r="P78" s="280"/>
      <c r="Q78" s="281"/>
    </row>
    <row r="79" spans="1:17" x14ac:dyDescent="0.25">
      <c r="A79" s="279"/>
      <c r="B79" s="280"/>
      <c r="C79" s="280"/>
      <c r="D79" s="280"/>
      <c r="E79" s="280"/>
      <c r="F79" s="280"/>
      <c r="G79" s="280"/>
      <c r="H79" s="280"/>
      <c r="I79" s="281"/>
      <c r="J79" s="279"/>
      <c r="K79" s="280"/>
      <c r="L79" s="280"/>
      <c r="M79" s="280"/>
      <c r="N79" s="280"/>
      <c r="O79" s="280"/>
      <c r="P79" s="280"/>
      <c r="Q79" s="281"/>
    </row>
    <row r="80" spans="1:17" x14ac:dyDescent="0.25">
      <c r="A80" s="279"/>
      <c r="B80" s="280"/>
      <c r="C80" s="280"/>
      <c r="D80" s="280"/>
      <c r="E80" s="280"/>
      <c r="F80" s="280"/>
      <c r="G80" s="280"/>
      <c r="H80" s="280"/>
      <c r="I80" s="281"/>
      <c r="J80" s="279"/>
      <c r="K80" s="280"/>
      <c r="L80" s="280"/>
      <c r="M80" s="280"/>
      <c r="N80" s="280"/>
      <c r="O80" s="280"/>
      <c r="P80" s="280"/>
      <c r="Q80" s="281"/>
    </row>
    <row r="81" spans="1:17" x14ac:dyDescent="0.25">
      <c r="A81" s="279"/>
      <c r="B81" s="280"/>
      <c r="C81" s="280"/>
      <c r="D81" s="280"/>
      <c r="E81" s="280"/>
      <c r="F81" s="280"/>
      <c r="G81" s="280"/>
      <c r="H81" s="280"/>
      <c r="I81" s="281"/>
      <c r="J81" s="279"/>
      <c r="K81" s="280"/>
      <c r="L81" s="280"/>
      <c r="M81" s="280"/>
      <c r="N81" s="280"/>
      <c r="O81" s="280"/>
      <c r="P81" s="280"/>
      <c r="Q81" s="281"/>
    </row>
    <row r="82" spans="1:17" x14ac:dyDescent="0.25">
      <c r="A82" s="279"/>
      <c r="B82" s="280"/>
      <c r="C82" s="280"/>
      <c r="D82" s="280"/>
      <c r="E82" s="280"/>
      <c r="F82" s="280"/>
      <c r="G82" s="280"/>
      <c r="H82" s="280"/>
      <c r="I82" s="281"/>
      <c r="J82" s="279"/>
      <c r="K82" s="280"/>
      <c r="L82" s="280"/>
      <c r="M82" s="280"/>
      <c r="N82" s="280"/>
      <c r="O82" s="280"/>
      <c r="P82" s="280"/>
      <c r="Q82" s="281"/>
    </row>
    <row r="83" spans="1:17" x14ac:dyDescent="0.25">
      <c r="A83" s="279"/>
      <c r="B83" s="280"/>
      <c r="C83" s="280"/>
      <c r="D83" s="280"/>
      <c r="E83" s="280"/>
      <c r="F83" s="280"/>
      <c r="G83" s="280"/>
      <c r="H83" s="280"/>
      <c r="I83" s="281"/>
      <c r="J83" s="279"/>
      <c r="K83" s="280"/>
      <c r="L83" s="280"/>
      <c r="M83" s="280"/>
      <c r="N83" s="280"/>
      <c r="O83" s="280"/>
      <c r="P83" s="280"/>
      <c r="Q83" s="281"/>
    </row>
    <row r="84" spans="1:17" x14ac:dyDescent="0.25">
      <c r="A84" s="279"/>
      <c r="B84" s="280"/>
      <c r="C84" s="280"/>
      <c r="D84" s="280"/>
      <c r="E84" s="280"/>
      <c r="F84" s="280"/>
      <c r="G84" s="280"/>
      <c r="H84" s="280"/>
      <c r="I84" s="281"/>
      <c r="J84" s="279"/>
      <c r="K84" s="280"/>
      <c r="L84" s="280"/>
      <c r="M84" s="280"/>
      <c r="N84" s="280"/>
      <c r="O84" s="280"/>
      <c r="P84" s="280"/>
      <c r="Q84" s="281"/>
    </row>
    <row r="85" spans="1:17" x14ac:dyDescent="0.25">
      <c r="A85" s="279"/>
      <c r="B85" s="280"/>
      <c r="C85" s="280"/>
      <c r="D85" s="280"/>
      <c r="E85" s="280"/>
      <c r="F85" s="280"/>
      <c r="G85" s="280"/>
      <c r="H85" s="280"/>
      <c r="I85" s="281"/>
      <c r="J85" s="279"/>
      <c r="K85" s="280"/>
      <c r="L85" s="280"/>
      <c r="M85" s="280"/>
      <c r="N85" s="280"/>
      <c r="O85" s="280"/>
      <c r="P85" s="280"/>
      <c r="Q85" s="281"/>
    </row>
    <row r="86" spans="1:17" x14ac:dyDescent="0.25">
      <c r="A86" s="279"/>
      <c r="B86" s="280"/>
      <c r="C86" s="280"/>
      <c r="D86" s="280"/>
      <c r="E86" s="280"/>
      <c r="F86" s="280"/>
      <c r="G86" s="280"/>
      <c r="H86" s="280"/>
      <c r="I86" s="281"/>
      <c r="J86" s="279"/>
      <c r="K86" s="280"/>
      <c r="L86" s="280"/>
      <c r="M86" s="280"/>
      <c r="N86" s="280"/>
      <c r="O86" s="280"/>
      <c r="P86" s="280"/>
      <c r="Q86" s="281"/>
    </row>
    <row r="87" spans="1:17" x14ac:dyDescent="0.25">
      <c r="A87" s="279"/>
      <c r="B87" s="280"/>
      <c r="C87" s="280"/>
      <c r="D87" s="280"/>
      <c r="E87" s="280"/>
      <c r="F87" s="280"/>
      <c r="G87" s="280"/>
      <c r="H87" s="280"/>
      <c r="I87" s="281"/>
      <c r="J87" s="279"/>
      <c r="K87" s="280"/>
      <c r="L87" s="280"/>
      <c r="M87" s="280"/>
      <c r="N87" s="280"/>
      <c r="O87" s="280"/>
      <c r="P87" s="280"/>
      <c r="Q87" s="281"/>
    </row>
    <row r="88" spans="1:17" x14ac:dyDescent="0.25">
      <c r="A88" s="279"/>
      <c r="B88" s="280"/>
      <c r="C88" s="280"/>
      <c r="D88" s="280"/>
      <c r="E88" s="280"/>
      <c r="F88" s="280"/>
      <c r="G88" s="280"/>
      <c r="H88" s="280"/>
      <c r="I88" s="281"/>
      <c r="J88" s="279"/>
      <c r="K88" s="280"/>
      <c r="L88" s="280"/>
      <c r="M88" s="280"/>
      <c r="N88" s="280"/>
      <c r="O88" s="280"/>
      <c r="P88" s="280"/>
      <c r="Q88" s="281"/>
    </row>
    <row r="89" spans="1:17" x14ac:dyDescent="0.25">
      <c r="A89" s="279"/>
      <c r="B89" s="280"/>
      <c r="C89" s="280"/>
      <c r="D89" s="280"/>
      <c r="E89" s="280"/>
      <c r="F89" s="280"/>
      <c r="G89" s="280"/>
      <c r="H89" s="280"/>
      <c r="I89" s="281"/>
      <c r="J89" s="279"/>
      <c r="K89" s="280"/>
      <c r="L89" s="280"/>
      <c r="M89" s="280"/>
      <c r="N89" s="280"/>
      <c r="O89" s="280"/>
      <c r="P89" s="280"/>
      <c r="Q89" s="281"/>
    </row>
    <row r="90" spans="1:17" x14ac:dyDescent="0.25">
      <c r="A90" s="279"/>
      <c r="B90" s="280"/>
      <c r="C90" s="280"/>
      <c r="D90" s="280"/>
      <c r="E90" s="280"/>
      <c r="F90" s="280"/>
      <c r="G90" s="280"/>
      <c r="H90" s="280"/>
      <c r="I90" s="281"/>
      <c r="J90" s="279"/>
      <c r="K90" s="280"/>
      <c r="L90" s="280"/>
      <c r="M90" s="280"/>
      <c r="N90" s="280"/>
      <c r="O90" s="280"/>
      <c r="P90" s="280"/>
      <c r="Q90" s="281"/>
    </row>
    <row r="91" spans="1:17" x14ac:dyDescent="0.25">
      <c r="A91" s="279"/>
      <c r="B91" s="280"/>
      <c r="C91" s="280"/>
      <c r="D91" s="280"/>
      <c r="E91" s="280"/>
      <c r="F91" s="280"/>
      <c r="G91" s="280"/>
      <c r="H91" s="280"/>
      <c r="I91" s="281"/>
      <c r="J91" s="279"/>
      <c r="K91" s="280"/>
      <c r="L91" s="280"/>
      <c r="M91" s="280"/>
      <c r="N91" s="280"/>
      <c r="O91" s="280"/>
      <c r="P91" s="280"/>
      <c r="Q91" s="281"/>
    </row>
    <row r="92" spans="1:17" ht="15.75" thickBot="1" x14ac:dyDescent="0.3">
      <c r="A92" s="282"/>
      <c r="B92" s="283"/>
      <c r="C92" s="283"/>
      <c r="D92" s="283"/>
      <c r="E92" s="283"/>
      <c r="F92" s="283"/>
      <c r="G92" s="283"/>
      <c r="H92" s="283"/>
      <c r="I92" s="284"/>
      <c r="J92" s="282"/>
      <c r="K92" s="283"/>
      <c r="L92" s="283"/>
      <c r="M92" s="283"/>
      <c r="N92" s="283"/>
      <c r="O92" s="283"/>
      <c r="P92" s="283"/>
      <c r="Q92" s="284"/>
    </row>
    <row r="93" spans="1:17" x14ac:dyDescent="0.25">
      <c r="A93" s="379" t="s">
        <v>105</v>
      </c>
      <c r="B93" s="374"/>
      <c r="C93" s="374"/>
      <c r="D93" s="374"/>
      <c r="E93" s="374"/>
      <c r="F93" s="374"/>
      <c r="G93" s="374"/>
      <c r="H93" s="374"/>
      <c r="I93" s="375"/>
      <c r="J93" s="374" t="s">
        <v>233</v>
      </c>
      <c r="K93" s="374"/>
      <c r="L93" s="374"/>
      <c r="M93" s="374"/>
      <c r="N93" s="374"/>
      <c r="O93" s="374"/>
      <c r="P93" s="374"/>
      <c r="Q93" s="375"/>
    </row>
    <row r="94" spans="1:17" ht="15.75" thickBot="1" x14ac:dyDescent="0.3">
      <c r="A94" s="325" t="s">
        <v>81</v>
      </c>
      <c r="B94" s="285"/>
      <c r="C94" s="285"/>
      <c r="D94" s="285"/>
      <c r="E94" s="129">
        <v>170</v>
      </c>
      <c r="F94" s="285" t="s">
        <v>82</v>
      </c>
      <c r="G94" s="285"/>
      <c r="H94" s="285"/>
      <c r="I94" s="146">
        <v>1</v>
      </c>
      <c r="J94" s="335" t="s">
        <v>83</v>
      </c>
      <c r="K94" s="335"/>
      <c r="L94" s="129">
        <v>120</v>
      </c>
      <c r="M94" s="72" t="s">
        <v>84</v>
      </c>
      <c r="N94" s="12">
        <f>(180-Saddle_Angle_Zick*0.5)</f>
        <v>120</v>
      </c>
      <c r="O94" s="335" t="s">
        <v>232</v>
      </c>
      <c r="P94" s="354"/>
      <c r="Q94" s="73">
        <f>(((FA_SUS*D*0.5)/PI())*(COS(Saddle_BAngle_Zick)+(0.5*Saddle_BAngle_Zick*SIN(Saddle_BAngle_Zick))-(1.5*SIN(Beta)/Beta)+(0.5*COS(Beta))-(0.25*(COS(Saddle_BAngle_Zick)-SIN(Beta)/Beta ))*(9-(4-6*(SIN(Beta)/Beta)^2 +(2*(COS(Beta))^2))/((SIN(Beta)/Beta)*COS(Beta)+1-(2*(SIN(Beta)/Beta)^2 )))))</f>
        <v>-80.546041672565153</v>
      </c>
    </row>
    <row r="95" spans="1:17" x14ac:dyDescent="0.25">
      <c r="A95" s="376"/>
      <c r="B95" s="377"/>
      <c r="C95" s="377"/>
      <c r="D95" s="377"/>
      <c r="E95" s="377"/>
      <c r="F95" s="377"/>
      <c r="G95" s="377"/>
      <c r="H95" s="377"/>
      <c r="I95" s="378"/>
      <c r="J95" s="311" t="s">
        <v>85</v>
      </c>
      <c r="K95" s="312"/>
      <c r="L95" s="312"/>
      <c r="M95" s="312"/>
      <c r="N95" s="312"/>
      <c r="O95" s="312"/>
      <c r="P95" s="312"/>
      <c r="Q95" s="313"/>
    </row>
    <row r="96" spans="1:17" x14ac:dyDescent="0.25">
      <c r="A96" s="279"/>
      <c r="B96" s="280"/>
      <c r="C96" s="280"/>
      <c r="D96" s="280"/>
      <c r="E96" s="280"/>
      <c r="F96" s="280"/>
      <c r="G96" s="280"/>
      <c r="H96" s="280"/>
      <c r="I96" s="281"/>
      <c r="J96" s="279"/>
      <c r="K96" s="280"/>
      <c r="L96" s="280"/>
      <c r="M96" s="280"/>
      <c r="N96" s="280"/>
      <c r="O96" s="280"/>
      <c r="P96" s="280"/>
      <c r="Q96" s="281"/>
    </row>
    <row r="97" spans="1:17" x14ac:dyDescent="0.25">
      <c r="A97" s="279"/>
      <c r="B97" s="280"/>
      <c r="C97" s="280"/>
      <c r="D97" s="280"/>
      <c r="E97" s="280"/>
      <c r="F97" s="280"/>
      <c r="G97" s="280"/>
      <c r="H97" s="280"/>
      <c r="I97" s="281"/>
      <c r="J97" s="279"/>
      <c r="K97" s="280"/>
      <c r="L97" s="280"/>
      <c r="M97" s="280"/>
      <c r="N97" s="280"/>
      <c r="O97" s="280"/>
      <c r="P97" s="280"/>
      <c r="Q97" s="281"/>
    </row>
    <row r="98" spans="1:17" x14ac:dyDescent="0.25">
      <c r="A98" s="279"/>
      <c r="B98" s="280"/>
      <c r="C98" s="280"/>
      <c r="D98" s="280"/>
      <c r="E98" s="280"/>
      <c r="F98" s="280"/>
      <c r="G98" s="280"/>
      <c r="H98" s="280"/>
      <c r="I98" s="281"/>
      <c r="J98" s="279"/>
      <c r="K98" s="280"/>
      <c r="L98" s="280"/>
      <c r="M98" s="280"/>
      <c r="N98" s="280"/>
      <c r="O98" s="280"/>
      <c r="P98" s="280"/>
      <c r="Q98" s="281"/>
    </row>
    <row r="99" spans="1:17" x14ac:dyDescent="0.25">
      <c r="A99" s="279"/>
      <c r="B99" s="280"/>
      <c r="C99" s="280"/>
      <c r="D99" s="280"/>
      <c r="E99" s="280"/>
      <c r="F99" s="280"/>
      <c r="G99" s="280"/>
      <c r="H99" s="280"/>
      <c r="I99" s="281"/>
      <c r="J99" s="279"/>
      <c r="K99" s="280"/>
      <c r="L99" s="280"/>
      <c r="M99" s="280"/>
      <c r="N99" s="280"/>
      <c r="O99" s="280"/>
      <c r="P99" s="280"/>
      <c r="Q99" s="281"/>
    </row>
    <row r="100" spans="1:17" x14ac:dyDescent="0.25">
      <c r="A100" s="279"/>
      <c r="B100" s="280"/>
      <c r="C100" s="280"/>
      <c r="D100" s="280"/>
      <c r="E100" s="280"/>
      <c r="F100" s="280"/>
      <c r="G100" s="280"/>
      <c r="H100" s="280"/>
      <c r="I100" s="281"/>
      <c r="J100" s="279"/>
      <c r="K100" s="280"/>
      <c r="L100" s="280"/>
      <c r="M100" s="280"/>
      <c r="N100" s="280"/>
      <c r="O100" s="280"/>
      <c r="P100" s="280"/>
      <c r="Q100" s="281"/>
    </row>
    <row r="101" spans="1:17" x14ac:dyDescent="0.25">
      <c r="A101" s="279"/>
      <c r="B101" s="280"/>
      <c r="C101" s="280"/>
      <c r="D101" s="280"/>
      <c r="E101" s="280"/>
      <c r="F101" s="280"/>
      <c r="G101" s="280"/>
      <c r="H101" s="280"/>
      <c r="I101" s="281"/>
      <c r="J101" s="279"/>
      <c r="K101" s="280"/>
      <c r="L101" s="280"/>
      <c r="M101" s="280"/>
      <c r="N101" s="280"/>
      <c r="O101" s="280"/>
      <c r="P101" s="280"/>
      <c r="Q101" s="281"/>
    </row>
    <row r="102" spans="1:17" x14ac:dyDescent="0.25">
      <c r="A102" s="279"/>
      <c r="B102" s="280"/>
      <c r="C102" s="280"/>
      <c r="D102" s="280"/>
      <c r="E102" s="280"/>
      <c r="F102" s="280"/>
      <c r="G102" s="280"/>
      <c r="H102" s="280"/>
      <c r="I102" s="281"/>
      <c r="J102" s="279"/>
      <c r="K102" s="280"/>
      <c r="L102" s="280"/>
      <c r="M102" s="280"/>
      <c r="N102" s="280"/>
      <c r="O102" s="280"/>
      <c r="P102" s="280"/>
      <c r="Q102" s="281"/>
    </row>
    <row r="103" spans="1:17" x14ac:dyDescent="0.25">
      <c r="A103" s="279"/>
      <c r="B103" s="280"/>
      <c r="C103" s="280"/>
      <c r="D103" s="280"/>
      <c r="E103" s="280"/>
      <c r="F103" s="280"/>
      <c r="G103" s="280"/>
      <c r="H103" s="280"/>
      <c r="I103" s="281"/>
      <c r="J103" s="279"/>
      <c r="K103" s="280"/>
      <c r="L103" s="280"/>
      <c r="M103" s="280"/>
      <c r="N103" s="280"/>
      <c r="O103" s="280"/>
      <c r="P103" s="280"/>
      <c r="Q103" s="281"/>
    </row>
    <row r="104" spans="1:17" x14ac:dyDescent="0.25">
      <c r="A104" s="279"/>
      <c r="B104" s="280"/>
      <c r="C104" s="280"/>
      <c r="D104" s="280"/>
      <c r="E104" s="280"/>
      <c r="F104" s="280"/>
      <c r="G104" s="280"/>
      <c r="H104" s="280"/>
      <c r="I104" s="281"/>
      <c r="J104" s="279"/>
      <c r="K104" s="280"/>
      <c r="L104" s="280"/>
      <c r="M104" s="280"/>
      <c r="N104" s="280"/>
      <c r="O104" s="280"/>
      <c r="P104" s="280"/>
      <c r="Q104" s="281"/>
    </row>
    <row r="105" spans="1:17" x14ac:dyDescent="0.25">
      <c r="A105" s="279"/>
      <c r="B105" s="280"/>
      <c r="C105" s="280"/>
      <c r="D105" s="280"/>
      <c r="E105" s="280"/>
      <c r="F105" s="280"/>
      <c r="G105" s="280"/>
      <c r="H105" s="280"/>
      <c r="I105" s="281"/>
      <c r="J105" s="279"/>
      <c r="K105" s="280"/>
      <c r="L105" s="280"/>
      <c r="M105" s="280"/>
      <c r="N105" s="280"/>
      <c r="O105" s="280"/>
      <c r="P105" s="280"/>
      <c r="Q105" s="281"/>
    </row>
    <row r="106" spans="1:17" x14ac:dyDescent="0.25">
      <c r="A106" s="279"/>
      <c r="B106" s="280"/>
      <c r="C106" s="280"/>
      <c r="D106" s="280"/>
      <c r="E106" s="280"/>
      <c r="F106" s="280"/>
      <c r="G106" s="280"/>
      <c r="H106" s="280"/>
      <c r="I106" s="281"/>
      <c r="J106" s="279"/>
      <c r="K106" s="280"/>
      <c r="L106" s="280"/>
      <c r="M106" s="280"/>
      <c r="N106" s="280"/>
      <c r="O106" s="280"/>
      <c r="P106" s="280"/>
      <c r="Q106" s="281"/>
    </row>
    <row r="107" spans="1:17" x14ac:dyDescent="0.25">
      <c r="A107" s="279"/>
      <c r="B107" s="280"/>
      <c r="C107" s="280"/>
      <c r="D107" s="280"/>
      <c r="E107" s="280"/>
      <c r="F107" s="280"/>
      <c r="G107" s="280"/>
      <c r="H107" s="280"/>
      <c r="I107" s="281"/>
      <c r="J107" s="279"/>
      <c r="K107" s="280"/>
      <c r="L107" s="280"/>
      <c r="M107" s="280"/>
      <c r="N107" s="280"/>
      <c r="O107" s="280"/>
      <c r="P107" s="280"/>
      <c r="Q107" s="281"/>
    </row>
    <row r="108" spans="1:17" x14ac:dyDescent="0.25">
      <c r="A108" s="279"/>
      <c r="B108" s="280"/>
      <c r="C108" s="280"/>
      <c r="D108" s="280"/>
      <c r="E108" s="280"/>
      <c r="F108" s="280"/>
      <c r="G108" s="280"/>
      <c r="H108" s="280"/>
      <c r="I108" s="281"/>
      <c r="J108" s="279"/>
      <c r="K108" s="280"/>
      <c r="L108" s="280"/>
      <c r="M108" s="280"/>
      <c r="N108" s="280"/>
      <c r="O108" s="280"/>
      <c r="P108" s="280"/>
      <c r="Q108" s="281"/>
    </row>
    <row r="109" spans="1:17" x14ac:dyDescent="0.25">
      <c r="A109" s="279"/>
      <c r="B109" s="280"/>
      <c r="C109" s="280"/>
      <c r="D109" s="280"/>
      <c r="E109" s="280"/>
      <c r="F109" s="280"/>
      <c r="G109" s="280"/>
      <c r="H109" s="280"/>
      <c r="I109" s="281"/>
      <c r="J109" s="279"/>
      <c r="K109" s="280"/>
      <c r="L109" s="280"/>
      <c r="M109" s="280"/>
      <c r="N109" s="280"/>
      <c r="O109" s="280"/>
      <c r="P109" s="280"/>
      <c r="Q109" s="281"/>
    </row>
    <row r="110" spans="1:17" x14ac:dyDescent="0.25">
      <c r="A110" s="279"/>
      <c r="B110" s="280"/>
      <c r="C110" s="280"/>
      <c r="D110" s="280"/>
      <c r="E110" s="280"/>
      <c r="F110" s="280"/>
      <c r="G110" s="280"/>
      <c r="H110" s="280"/>
      <c r="I110" s="281"/>
      <c r="J110" s="279"/>
      <c r="K110" s="280"/>
      <c r="L110" s="280"/>
      <c r="M110" s="280"/>
      <c r="N110" s="280"/>
      <c r="O110" s="280"/>
      <c r="P110" s="280"/>
      <c r="Q110" s="281"/>
    </row>
    <row r="111" spans="1:17" ht="15.75" thickBot="1" x14ac:dyDescent="0.3">
      <c r="A111" s="279"/>
      <c r="B111" s="280"/>
      <c r="C111" s="280"/>
      <c r="D111" s="280"/>
      <c r="E111" s="280"/>
      <c r="F111" s="280"/>
      <c r="G111" s="280"/>
      <c r="H111" s="280"/>
      <c r="I111" s="281"/>
      <c r="J111" s="279"/>
      <c r="K111" s="280"/>
      <c r="L111" s="280"/>
      <c r="M111" s="280"/>
      <c r="N111" s="280"/>
      <c r="O111" s="280"/>
      <c r="P111" s="280"/>
      <c r="Q111" s="281"/>
    </row>
    <row r="112" spans="1:17" x14ac:dyDescent="0.25">
      <c r="A112" s="379" t="s">
        <v>218</v>
      </c>
      <c r="B112" s="374"/>
      <c r="C112" s="374"/>
      <c r="D112" s="374"/>
      <c r="E112" s="374"/>
      <c r="F112" s="374"/>
      <c r="G112" s="374"/>
      <c r="H112" s="374"/>
      <c r="I112" s="375"/>
      <c r="J112" s="403" t="s">
        <v>227</v>
      </c>
      <c r="K112" s="404"/>
      <c r="L112" s="404"/>
      <c r="M112" s="404"/>
      <c r="N112" s="404"/>
      <c r="O112" s="404"/>
      <c r="P112" s="404"/>
      <c r="Q112" s="405"/>
    </row>
    <row r="113" spans="1:17" x14ac:dyDescent="0.25">
      <c r="A113" s="376"/>
      <c r="B113" s="377"/>
      <c r="C113" s="377"/>
      <c r="D113" s="377"/>
      <c r="E113" s="377"/>
      <c r="F113" s="377"/>
      <c r="G113" s="377"/>
      <c r="H113" s="377"/>
      <c r="I113" s="378"/>
      <c r="J113" s="273"/>
      <c r="K113" s="274"/>
      <c r="L113" s="274"/>
      <c r="M113" s="274"/>
      <c r="N113" s="274"/>
      <c r="O113" s="274"/>
      <c r="P113" s="274"/>
      <c r="Q113" s="275"/>
    </row>
    <row r="114" spans="1:17" x14ac:dyDescent="0.25">
      <c r="A114" s="279"/>
      <c r="B114" s="280"/>
      <c r="C114" s="280"/>
      <c r="D114" s="280"/>
      <c r="E114" s="280"/>
      <c r="F114" s="280"/>
      <c r="G114" s="280"/>
      <c r="H114" s="280"/>
      <c r="I114" s="281"/>
      <c r="J114" s="273"/>
      <c r="K114" s="274"/>
      <c r="L114" s="274"/>
      <c r="M114" s="274"/>
      <c r="N114" s="274"/>
      <c r="O114" s="274"/>
      <c r="P114" s="274"/>
      <c r="Q114" s="275"/>
    </row>
    <row r="115" spans="1:17" x14ac:dyDescent="0.25">
      <c r="A115" s="279"/>
      <c r="B115" s="280"/>
      <c r="C115" s="280"/>
      <c r="D115" s="280"/>
      <c r="E115" s="280"/>
      <c r="F115" s="280"/>
      <c r="G115" s="280"/>
      <c r="H115" s="280"/>
      <c r="I115" s="281"/>
      <c r="J115" s="273"/>
      <c r="K115" s="274"/>
      <c r="L115" s="274"/>
      <c r="M115" s="274"/>
      <c r="N115" s="274"/>
      <c r="O115" s="274"/>
      <c r="P115" s="274"/>
      <c r="Q115" s="275"/>
    </row>
    <row r="116" spans="1:17" x14ac:dyDescent="0.25">
      <c r="A116" s="279"/>
      <c r="B116" s="280"/>
      <c r="C116" s="280"/>
      <c r="D116" s="280"/>
      <c r="E116" s="280"/>
      <c r="F116" s="280"/>
      <c r="G116" s="280"/>
      <c r="H116" s="280"/>
      <c r="I116" s="281"/>
      <c r="J116" s="273"/>
      <c r="K116" s="274"/>
      <c r="L116" s="274"/>
      <c r="M116" s="274"/>
      <c r="N116" s="274"/>
      <c r="O116" s="274"/>
      <c r="P116" s="274"/>
      <c r="Q116" s="275"/>
    </row>
    <row r="117" spans="1:17" x14ac:dyDescent="0.25">
      <c r="A117" s="279"/>
      <c r="B117" s="280"/>
      <c r="C117" s="280"/>
      <c r="D117" s="280"/>
      <c r="E117" s="280"/>
      <c r="F117" s="280"/>
      <c r="G117" s="280"/>
      <c r="H117" s="280"/>
      <c r="I117" s="281"/>
      <c r="J117" s="273"/>
      <c r="K117" s="274"/>
      <c r="L117" s="274"/>
      <c r="M117" s="274"/>
      <c r="N117" s="274"/>
      <c r="O117" s="274"/>
      <c r="P117" s="274"/>
      <c r="Q117" s="275"/>
    </row>
    <row r="118" spans="1:17" x14ac:dyDescent="0.25">
      <c r="A118" s="279"/>
      <c r="B118" s="280"/>
      <c r="C118" s="280"/>
      <c r="D118" s="280"/>
      <c r="E118" s="280"/>
      <c r="F118" s="280"/>
      <c r="G118" s="280"/>
      <c r="H118" s="280"/>
      <c r="I118" s="281"/>
      <c r="J118" s="273"/>
      <c r="K118" s="274"/>
      <c r="L118" s="274"/>
      <c r="M118" s="274"/>
      <c r="N118" s="274"/>
      <c r="O118" s="274"/>
      <c r="P118" s="274"/>
      <c r="Q118" s="275"/>
    </row>
    <row r="119" spans="1:17" x14ac:dyDescent="0.25">
      <c r="A119" s="279"/>
      <c r="B119" s="280"/>
      <c r="C119" s="280"/>
      <c r="D119" s="280"/>
      <c r="E119" s="280"/>
      <c r="F119" s="280"/>
      <c r="G119" s="280"/>
      <c r="H119" s="280"/>
      <c r="I119" s="281"/>
      <c r="J119" s="273"/>
      <c r="K119" s="274"/>
      <c r="L119" s="274"/>
      <c r="M119" s="274"/>
      <c r="N119" s="274"/>
      <c r="O119" s="274"/>
      <c r="P119" s="274"/>
      <c r="Q119" s="275"/>
    </row>
    <row r="120" spans="1:17" x14ac:dyDescent="0.25">
      <c r="A120" s="279"/>
      <c r="B120" s="280"/>
      <c r="C120" s="280"/>
      <c r="D120" s="280"/>
      <c r="E120" s="280"/>
      <c r="F120" s="280"/>
      <c r="G120" s="280"/>
      <c r="H120" s="280"/>
      <c r="I120" s="281"/>
      <c r="J120" s="273"/>
      <c r="K120" s="274"/>
      <c r="L120" s="274"/>
      <c r="M120" s="274"/>
      <c r="N120" s="274"/>
      <c r="O120" s="274"/>
      <c r="P120" s="274"/>
      <c r="Q120" s="275"/>
    </row>
    <row r="121" spans="1:17" x14ac:dyDescent="0.25">
      <c r="A121" s="279"/>
      <c r="B121" s="280"/>
      <c r="C121" s="280"/>
      <c r="D121" s="280"/>
      <c r="E121" s="280"/>
      <c r="F121" s="280"/>
      <c r="G121" s="280"/>
      <c r="H121" s="280"/>
      <c r="I121" s="281"/>
      <c r="J121" s="273"/>
      <c r="K121" s="274"/>
      <c r="L121" s="274"/>
      <c r="M121" s="274"/>
      <c r="N121" s="274"/>
      <c r="O121" s="274"/>
      <c r="P121" s="274"/>
      <c r="Q121" s="275"/>
    </row>
    <row r="122" spans="1:17" x14ac:dyDescent="0.25">
      <c r="A122" s="279"/>
      <c r="B122" s="280"/>
      <c r="C122" s="280"/>
      <c r="D122" s="280"/>
      <c r="E122" s="280"/>
      <c r="F122" s="280"/>
      <c r="G122" s="280"/>
      <c r="H122" s="280"/>
      <c r="I122" s="281"/>
      <c r="J122" s="273"/>
      <c r="K122" s="274"/>
      <c r="L122" s="274"/>
      <c r="M122" s="274"/>
      <c r="N122" s="274"/>
      <c r="O122" s="274"/>
      <c r="P122" s="274"/>
      <c r="Q122" s="275"/>
    </row>
    <row r="123" spans="1:17" x14ac:dyDescent="0.25">
      <c r="A123" s="279"/>
      <c r="B123" s="280"/>
      <c r="C123" s="280"/>
      <c r="D123" s="280"/>
      <c r="E123" s="280"/>
      <c r="F123" s="280"/>
      <c r="G123" s="280"/>
      <c r="H123" s="280"/>
      <c r="I123" s="281"/>
      <c r="J123" s="273"/>
      <c r="K123" s="274"/>
      <c r="L123" s="274"/>
      <c r="M123" s="274"/>
      <c r="N123" s="274"/>
      <c r="O123" s="274"/>
      <c r="P123" s="274"/>
      <c r="Q123" s="275"/>
    </row>
    <row r="124" spans="1:17" x14ac:dyDescent="0.25">
      <c r="A124" s="279"/>
      <c r="B124" s="280"/>
      <c r="C124" s="280"/>
      <c r="D124" s="280"/>
      <c r="E124" s="280"/>
      <c r="F124" s="280"/>
      <c r="G124" s="280"/>
      <c r="H124" s="280"/>
      <c r="I124" s="281"/>
      <c r="J124" s="273"/>
      <c r="K124" s="274"/>
      <c r="L124" s="274"/>
      <c r="M124" s="274"/>
      <c r="N124" s="274"/>
      <c r="O124" s="274"/>
      <c r="P124" s="274"/>
      <c r="Q124" s="275"/>
    </row>
    <row r="125" spans="1:17" x14ac:dyDescent="0.25">
      <c r="A125" s="279"/>
      <c r="B125" s="280"/>
      <c r="C125" s="280"/>
      <c r="D125" s="280"/>
      <c r="E125" s="280"/>
      <c r="F125" s="280"/>
      <c r="G125" s="280"/>
      <c r="H125" s="280"/>
      <c r="I125" s="281"/>
      <c r="J125" s="273"/>
      <c r="K125" s="274"/>
      <c r="L125" s="274"/>
      <c r="M125" s="274"/>
      <c r="N125" s="274"/>
      <c r="O125" s="274"/>
      <c r="P125" s="274"/>
      <c r="Q125" s="275"/>
    </row>
    <row r="126" spans="1:17" x14ac:dyDescent="0.25">
      <c r="A126" s="279"/>
      <c r="B126" s="280"/>
      <c r="C126" s="280"/>
      <c r="D126" s="280"/>
      <c r="E126" s="280"/>
      <c r="F126" s="280"/>
      <c r="G126" s="280"/>
      <c r="H126" s="280"/>
      <c r="I126" s="281"/>
      <c r="J126" s="273"/>
      <c r="K126" s="274"/>
      <c r="L126" s="274"/>
      <c r="M126" s="274"/>
      <c r="N126" s="274"/>
      <c r="O126" s="274"/>
      <c r="P126" s="274"/>
      <c r="Q126" s="275"/>
    </row>
    <row r="127" spans="1:17" x14ac:dyDescent="0.25">
      <c r="A127" s="279"/>
      <c r="B127" s="280"/>
      <c r="C127" s="280"/>
      <c r="D127" s="280"/>
      <c r="E127" s="280"/>
      <c r="F127" s="280"/>
      <c r="G127" s="280"/>
      <c r="H127" s="280"/>
      <c r="I127" s="281"/>
      <c r="J127" s="273"/>
      <c r="K127" s="274"/>
      <c r="L127" s="274"/>
      <c r="M127" s="274"/>
      <c r="N127" s="274"/>
      <c r="O127" s="274"/>
      <c r="P127" s="274"/>
      <c r="Q127" s="275"/>
    </row>
    <row r="128" spans="1:17" x14ac:dyDescent="0.25">
      <c r="A128" s="279"/>
      <c r="B128" s="280"/>
      <c r="C128" s="280"/>
      <c r="D128" s="280"/>
      <c r="E128" s="280"/>
      <c r="F128" s="280"/>
      <c r="G128" s="280"/>
      <c r="H128" s="280"/>
      <c r="I128" s="281"/>
      <c r="J128" s="273"/>
      <c r="K128" s="274"/>
      <c r="L128" s="274"/>
      <c r="M128" s="274"/>
      <c r="N128" s="274"/>
      <c r="O128" s="274"/>
      <c r="P128" s="274"/>
      <c r="Q128" s="275"/>
    </row>
    <row r="129" spans="1:17" ht="15.75" thickBot="1" x14ac:dyDescent="0.3">
      <c r="A129" s="279"/>
      <c r="B129" s="280"/>
      <c r="C129" s="280"/>
      <c r="D129" s="280"/>
      <c r="E129" s="280"/>
      <c r="F129" s="280"/>
      <c r="G129" s="280"/>
      <c r="H129" s="280"/>
      <c r="I129" s="281"/>
      <c r="J129" s="259"/>
      <c r="K129" s="260"/>
      <c r="L129" s="260"/>
      <c r="M129" s="260"/>
      <c r="N129" s="260"/>
      <c r="O129" s="260"/>
      <c r="P129" s="260"/>
      <c r="Q129" s="406"/>
    </row>
    <row r="130" spans="1:17" x14ac:dyDescent="0.25">
      <c r="A130" s="413" t="s">
        <v>152</v>
      </c>
      <c r="B130" s="414"/>
      <c r="C130" s="414"/>
      <c r="D130" s="472"/>
      <c r="E130" s="407" t="s">
        <v>151</v>
      </c>
      <c r="F130" s="408"/>
      <c r="G130" s="408"/>
      <c r="H130" s="408"/>
      <c r="I130" s="408"/>
      <c r="J130" s="408"/>
      <c r="K130" s="408"/>
      <c r="L130" s="408"/>
      <c r="M130" s="408"/>
      <c r="N130" s="408"/>
      <c r="O130" s="408"/>
      <c r="P130" s="408"/>
      <c r="Q130" s="409"/>
    </row>
    <row r="131" spans="1:17" ht="21.75" customHeight="1" thickBot="1" x14ac:dyDescent="0.3">
      <c r="A131" s="415"/>
      <c r="B131" s="416"/>
      <c r="C131" s="416"/>
      <c r="D131" s="473"/>
      <c r="E131" s="410"/>
      <c r="F131" s="411"/>
      <c r="G131" s="411"/>
      <c r="H131" s="411"/>
      <c r="I131" s="411"/>
      <c r="J131" s="411"/>
      <c r="K131" s="411"/>
      <c r="L131" s="411"/>
      <c r="M131" s="411"/>
      <c r="N131" s="411"/>
      <c r="O131" s="411"/>
      <c r="P131" s="411"/>
      <c r="Q131" s="412"/>
    </row>
    <row r="132" spans="1:17" x14ac:dyDescent="0.25">
      <c r="A132" s="400" t="s">
        <v>113</v>
      </c>
      <c r="B132" s="401"/>
      <c r="C132" s="401"/>
      <c r="D132" s="402"/>
      <c r="E132" s="251" t="s">
        <v>114</v>
      </c>
      <c r="F132" s="252"/>
      <c r="G132" s="252"/>
      <c r="H132" s="252"/>
      <c r="I132" s="252"/>
      <c r="J132" s="253"/>
      <c r="K132" s="251" t="s">
        <v>115</v>
      </c>
      <c r="L132" s="252"/>
      <c r="M132" s="252"/>
      <c r="N132" s="253"/>
      <c r="O132" s="251" t="s">
        <v>126</v>
      </c>
      <c r="P132" s="252"/>
      <c r="Q132" s="253"/>
    </row>
    <row r="133" spans="1:17" x14ac:dyDescent="0.25">
      <c r="A133" s="394" t="s">
        <v>110</v>
      </c>
      <c r="B133" s="395"/>
      <c r="C133" s="395"/>
      <c r="D133" s="396"/>
      <c r="E133" s="254" t="s">
        <v>110</v>
      </c>
      <c r="F133" s="255"/>
      <c r="G133" s="255"/>
      <c r="H133" s="255"/>
      <c r="I133" s="255"/>
      <c r="J133" s="256"/>
      <c r="K133" s="254" t="s">
        <v>110</v>
      </c>
      <c r="L133" s="255"/>
      <c r="M133" s="255"/>
      <c r="N133" s="256"/>
      <c r="O133" s="254" t="s">
        <v>110</v>
      </c>
      <c r="P133" s="255"/>
      <c r="Q133" s="256"/>
    </row>
    <row r="134" spans="1:17" x14ac:dyDescent="0.25">
      <c r="A134" s="220" t="s">
        <v>112</v>
      </c>
      <c r="B134" s="221"/>
      <c r="C134" s="221"/>
      <c r="D134" s="222"/>
      <c r="E134" s="220" t="s">
        <v>120</v>
      </c>
      <c r="F134" s="221"/>
      <c r="G134" s="221"/>
      <c r="H134" s="221"/>
      <c r="I134" s="221"/>
      <c r="J134" s="222"/>
      <c r="K134" s="206" t="s">
        <v>116</v>
      </c>
      <c r="L134" s="207"/>
      <c r="M134" s="207"/>
      <c r="N134" s="208"/>
      <c r="O134" s="206" t="s">
        <v>128</v>
      </c>
      <c r="P134" s="207"/>
      <c r="Q134" s="208"/>
    </row>
    <row r="135" spans="1:17" x14ac:dyDescent="0.25">
      <c r="A135" s="460"/>
      <c r="B135" s="461"/>
      <c r="C135" s="461"/>
      <c r="D135" s="462"/>
      <c r="E135" s="223"/>
      <c r="F135" s="224"/>
      <c r="G135" s="224"/>
      <c r="H135" s="224"/>
      <c r="I135" s="224"/>
      <c r="J135" s="225"/>
      <c r="K135" s="206" t="s">
        <v>117</v>
      </c>
      <c r="L135" s="207"/>
      <c r="M135" s="207"/>
      <c r="N135" s="208"/>
      <c r="O135" s="206" t="s">
        <v>129</v>
      </c>
      <c r="P135" s="207"/>
      <c r="Q135" s="208"/>
    </row>
    <row r="136" spans="1:17" x14ac:dyDescent="0.25">
      <c r="A136" s="223"/>
      <c r="B136" s="224"/>
      <c r="C136" s="224"/>
      <c r="D136" s="225"/>
      <c r="E136" s="220" t="s">
        <v>121</v>
      </c>
      <c r="F136" s="221"/>
      <c r="G136" s="221"/>
      <c r="H136" s="221"/>
      <c r="I136" s="221"/>
      <c r="J136" s="222"/>
      <c r="K136" s="206" t="s">
        <v>118</v>
      </c>
      <c r="L136" s="207"/>
      <c r="M136" s="207"/>
      <c r="N136" s="208"/>
      <c r="O136" s="206" t="s">
        <v>130</v>
      </c>
      <c r="P136" s="207"/>
      <c r="Q136" s="208"/>
    </row>
    <row r="137" spans="1:17" x14ac:dyDescent="0.25">
      <c r="A137" s="463" t="s">
        <v>134</v>
      </c>
      <c r="B137" s="464"/>
      <c r="C137" s="464"/>
      <c r="D137" s="465"/>
      <c r="E137" s="223"/>
      <c r="F137" s="224"/>
      <c r="G137" s="224"/>
      <c r="H137" s="224"/>
      <c r="I137" s="224"/>
      <c r="J137" s="225"/>
      <c r="K137" s="206" t="s">
        <v>119</v>
      </c>
      <c r="L137" s="207"/>
      <c r="M137" s="207"/>
      <c r="N137" s="208"/>
      <c r="O137" s="206" t="s">
        <v>131</v>
      </c>
      <c r="P137" s="207"/>
      <c r="Q137" s="208"/>
    </row>
    <row r="138" spans="1:17" x14ac:dyDescent="0.25">
      <c r="A138" s="466"/>
      <c r="B138" s="467"/>
      <c r="C138" s="467"/>
      <c r="D138" s="468"/>
      <c r="E138" s="220" t="s">
        <v>145</v>
      </c>
      <c r="F138" s="221"/>
      <c r="G138" s="221"/>
      <c r="H138" s="221"/>
      <c r="I138" s="221"/>
      <c r="J138" s="222"/>
      <c r="K138" s="206" t="s">
        <v>146</v>
      </c>
      <c r="L138" s="207"/>
      <c r="M138" s="207"/>
      <c r="N138" s="208"/>
      <c r="O138" s="206" t="s">
        <v>149</v>
      </c>
      <c r="P138" s="207"/>
      <c r="Q138" s="208"/>
    </row>
    <row r="139" spans="1:17" x14ac:dyDescent="0.25">
      <c r="A139" s="469"/>
      <c r="B139" s="470"/>
      <c r="C139" s="470"/>
      <c r="D139" s="471"/>
      <c r="E139" s="223"/>
      <c r="F139" s="224"/>
      <c r="G139" s="224"/>
      <c r="H139" s="224"/>
      <c r="I139" s="224"/>
      <c r="J139" s="225"/>
      <c r="K139" s="206" t="s">
        <v>147</v>
      </c>
      <c r="L139" s="207"/>
      <c r="M139" s="207"/>
      <c r="N139" s="208"/>
      <c r="O139" s="206" t="s">
        <v>150</v>
      </c>
      <c r="P139" s="207"/>
      <c r="Q139" s="208"/>
    </row>
    <row r="140" spans="1:17" x14ac:dyDescent="0.25">
      <c r="A140" s="220" t="s">
        <v>109</v>
      </c>
      <c r="B140" s="221"/>
      <c r="C140" s="221"/>
      <c r="D140" s="222"/>
      <c r="E140" s="220" t="s">
        <v>123</v>
      </c>
      <c r="F140" s="221"/>
      <c r="G140" s="221"/>
      <c r="H140" s="221"/>
      <c r="I140" s="221"/>
      <c r="J140" s="222"/>
      <c r="K140" s="220" t="s">
        <v>125</v>
      </c>
      <c r="L140" s="221"/>
      <c r="M140" s="221"/>
      <c r="N140" s="222"/>
      <c r="O140" s="220" t="s">
        <v>132</v>
      </c>
      <c r="P140" s="221"/>
      <c r="Q140" s="222"/>
    </row>
    <row r="141" spans="1:17" x14ac:dyDescent="0.25">
      <c r="A141" s="460"/>
      <c r="B141" s="461"/>
      <c r="C141" s="461"/>
      <c r="D141" s="462"/>
      <c r="E141" s="223"/>
      <c r="F141" s="224"/>
      <c r="G141" s="224"/>
      <c r="H141" s="224"/>
      <c r="I141" s="224"/>
      <c r="J141" s="225"/>
      <c r="K141" s="223"/>
      <c r="L141" s="224"/>
      <c r="M141" s="224"/>
      <c r="N141" s="225"/>
      <c r="O141" s="223"/>
      <c r="P141" s="224"/>
      <c r="Q141" s="225"/>
    </row>
    <row r="142" spans="1:17" x14ac:dyDescent="0.25">
      <c r="A142" s="223"/>
      <c r="B142" s="224"/>
      <c r="C142" s="224"/>
      <c r="D142" s="225"/>
      <c r="E142" s="220" t="s">
        <v>122</v>
      </c>
      <c r="F142" s="221"/>
      <c r="G142" s="221"/>
      <c r="H142" s="221"/>
      <c r="I142" s="221"/>
      <c r="J142" s="222"/>
      <c r="K142" s="220" t="s">
        <v>124</v>
      </c>
      <c r="L142" s="221"/>
      <c r="M142" s="221"/>
      <c r="N142" s="222"/>
      <c r="O142" s="220" t="s">
        <v>133</v>
      </c>
      <c r="P142" s="221"/>
      <c r="Q142" s="222"/>
    </row>
    <row r="143" spans="1:17" x14ac:dyDescent="0.25">
      <c r="A143" s="206" t="s">
        <v>111</v>
      </c>
      <c r="B143" s="207"/>
      <c r="C143" s="207"/>
      <c r="D143" s="208"/>
      <c r="E143" s="223"/>
      <c r="F143" s="224"/>
      <c r="G143" s="224"/>
      <c r="H143" s="224"/>
      <c r="I143" s="224"/>
      <c r="J143" s="225"/>
      <c r="K143" s="223"/>
      <c r="L143" s="224"/>
      <c r="M143" s="224"/>
      <c r="N143" s="225"/>
      <c r="O143" s="223"/>
      <c r="P143" s="224"/>
      <c r="Q143" s="225"/>
    </row>
    <row r="144" spans="1:17" x14ac:dyDescent="0.25">
      <c r="A144" s="206"/>
      <c r="B144" s="207"/>
      <c r="C144" s="207"/>
      <c r="D144" s="208"/>
      <c r="E144" s="220" t="s">
        <v>148</v>
      </c>
      <c r="F144" s="221"/>
      <c r="G144" s="221"/>
      <c r="H144" s="221"/>
      <c r="I144" s="221"/>
      <c r="J144" s="222"/>
      <c r="K144" s="220" t="s">
        <v>127</v>
      </c>
      <c r="L144" s="221"/>
      <c r="M144" s="221"/>
      <c r="N144" s="222"/>
      <c r="O144" s="220" t="s">
        <v>127</v>
      </c>
      <c r="P144" s="221"/>
      <c r="Q144" s="222"/>
    </row>
    <row r="145" spans="1:17" x14ac:dyDescent="0.25">
      <c r="A145" s="206"/>
      <c r="B145" s="207"/>
      <c r="C145" s="207"/>
      <c r="D145" s="208"/>
      <c r="E145" s="223"/>
      <c r="F145" s="224"/>
      <c r="G145" s="224"/>
      <c r="H145" s="224"/>
      <c r="I145" s="224"/>
      <c r="J145" s="225"/>
      <c r="K145" s="223"/>
      <c r="L145" s="224"/>
      <c r="M145" s="224"/>
      <c r="N145" s="225"/>
      <c r="O145" s="223"/>
      <c r="P145" s="224"/>
      <c r="Q145" s="225"/>
    </row>
    <row r="146" spans="1:17" x14ac:dyDescent="0.25">
      <c r="A146" s="478"/>
      <c r="B146" s="479"/>
      <c r="C146" s="479"/>
      <c r="D146" s="480"/>
      <c r="E146" s="417"/>
      <c r="F146" s="418"/>
      <c r="G146" s="418"/>
      <c r="H146" s="418"/>
      <c r="I146" s="418"/>
      <c r="J146" s="419"/>
      <c r="K146" s="397"/>
      <c r="L146" s="398"/>
      <c r="M146" s="398"/>
      <c r="N146" s="399"/>
      <c r="O146" s="397"/>
      <c r="P146" s="398"/>
      <c r="Q146" s="399"/>
    </row>
    <row r="147" spans="1:17" x14ac:dyDescent="0.25">
      <c r="A147" s="478"/>
      <c r="B147" s="479"/>
      <c r="C147" s="479"/>
      <c r="D147" s="480"/>
      <c r="E147" s="417"/>
      <c r="F147" s="418"/>
      <c r="G147" s="418"/>
      <c r="H147" s="418"/>
      <c r="I147" s="418"/>
      <c r="J147" s="419"/>
      <c r="K147" s="397"/>
      <c r="L147" s="398"/>
      <c r="M147" s="398"/>
      <c r="N147" s="399"/>
      <c r="O147" s="397"/>
      <c r="P147" s="398"/>
      <c r="Q147" s="399"/>
    </row>
    <row r="148" spans="1:17" x14ac:dyDescent="0.25">
      <c r="A148" s="478"/>
      <c r="B148" s="479"/>
      <c r="C148" s="479"/>
      <c r="D148" s="480"/>
      <c r="E148" s="417"/>
      <c r="F148" s="418"/>
      <c r="G148" s="418"/>
      <c r="H148" s="418"/>
      <c r="I148" s="418"/>
      <c r="J148" s="419"/>
      <c r="K148" s="397"/>
      <c r="L148" s="398"/>
      <c r="M148" s="398"/>
      <c r="N148" s="399"/>
      <c r="O148" s="397"/>
      <c r="P148" s="398"/>
      <c r="Q148" s="399"/>
    </row>
    <row r="149" spans="1:17" x14ac:dyDescent="0.25">
      <c r="A149" s="478"/>
      <c r="B149" s="479"/>
      <c r="C149" s="479"/>
      <c r="D149" s="480"/>
      <c r="E149" s="417"/>
      <c r="F149" s="418"/>
      <c r="G149" s="418"/>
      <c r="H149" s="418"/>
      <c r="I149" s="418"/>
      <c r="J149" s="419"/>
      <c r="K149" s="397"/>
      <c r="L149" s="398"/>
      <c r="M149" s="398"/>
      <c r="N149" s="399"/>
      <c r="O149" s="397"/>
      <c r="P149" s="398"/>
      <c r="Q149" s="399"/>
    </row>
    <row r="150" spans="1:17" x14ac:dyDescent="0.25">
      <c r="A150" s="478"/>
      <c r="B150" s="479"/>
      <c r="C150" s="479"/>
      <c r="D150" s="480"/>
      <c r="E150" s="417"/>
      <c r="F150" s="418"/>
      <c r="G150" s="418"/>
      <c r="H150" s="418"/>
      <c r="I150" s="418"/>
      <c r="J150" s="419"/>
      <c r="K150" s="397"/>
      <c r="L150" s="398"/>
      <c r="M150" s="398"/>
      <c r="N150" s="399"/>
      <c r="O150" s="397"/>
      <c r="P150" s="398"/>
      <c r="Q150" s="399"/>
    </row>
    <row r="151" spans="1:17" x14ac:dyDescent="0.25">
      <c r="A151" s="478"/>
      <c r="B151" s="479"/>
      <c r="C151" s="479"/>
      <c r="D151" s="480"/>
      <c r="E151" s="417"/>
      <c r="F151" s="418"/>
      <c r="G151" s="418"/>
      <c r="H151" s="418"/>
      <c r="I151" s="418"/>
      <c r="J151" s="419"/>
      <c r="K151" s="397"/>
      <c r="L151" s="398"/>
      <c r="M151" s="398"/>
      <c r="N151" s="399"/>
      <c r="O151" s="397"/>
      <c r="P151" s="398"/>
      <c r="Q151" s="399"/>
    </row>
    <row r="152" spans="1:17" x14ac:dyDescent="0.25">
      <c r="A152" s="478"/>
      <c r="B152" s="479"/>
      <c r="C152" s="479"/>
      <c r="D152" s="480"/>
      <c r="E152" s="417"/>
      <c r="F152" s="418"/>
      <c r="G152" s="418"/>
      <c r="H152" s="418"/>
      <c r="I152" s="418"/>
      <c r="J152" s="419"/>
      <c r="K152" s="397"/>
      <c r="L152" s="398"/>
      <c r="M152" s="398"/>
      <c r="N152" s="399"/>
      <c r="O152" s="397"/>
      <c r="P152" s="398"/>
      <c r="Q152" s="399"/>
    </row>
    <row r="153" spans="1:17" x14ac:dyDescent="0.25">
      <c r="A153" s="478"/>
      <c r="B153" s="479"/>
      <c r="C153" s="479"/>
      <c r="D153" s="480"/>
      <c r="E153" s="417"/>
      <c r="F153" s="418"/>
      <c r="G153" s="418"/>
      <c r="H153" s="418"/>
      <c r="I153" s="418"/>
      <c r="J153" s="419"/>
      <c r="K153" s="397"/>
      <c r="L153" s="398"/>
      <c r="M153" s="398"/>
      <c r="N153" s="399"/>
      <c r="O153" s="397"/>
      <c r="P153" s="398"/>
      <c r="Q153" s="399"/>
    </row>
    <row r="154" spans="1:17" x14ac:dyDescent="0.25">
      <c r="A154" s="481"/>
      <c r="B154" s="482"/>
      <c r="C154" s="482"/>
      <c r="D154" s="483"/>
      <c r="E154" s="417"/>
      <c r="F154" s="418"/>
      <c r="G154" s="418"/>
      <c r="H154" s="418"/>
      <c r="I154" s="418"/>
      <c r="J154" s="419"/>
      <c r="K154" s="397"/>
      <c r="L154" s="398"/>
      <c r="M154" s="398"/>
      <c r="N154" s="399"/>
      <c r="O154" s="397"/>
      <c r="P154" s="398"/>
      <c r="Q154" s="399"/>
    </row>
    <row r="155" spans="1:17" x14ac:dyDescent="0.25">
      <c r="A155" s="456" t="s">
        <v>250</v>
      </c>
      <c r="B155" s="474"/>
      <c r="C155" s="421"/>
      <c r="D155" s="476">
        <v>50</v>
      </c>
      <c r="E155" s="456" t="s">
        <v>258</v>
      </c>
      <c r="F155" s="421"/>
      <c r="G155" s="442">
        <f>SLb_Qb_Primary</f>
        <v>0</v>
      </c>
      <c r="H155" s="420" t="s">
        <v>259</v>
      </c>
      <c r="I155" s="421"/>
      <c r="J155" s="426">
        <f>SLm_PL</f>
        <v>0</v>
      </c>
      <c r="K155" s="226" t="s">
        <v>278</v>
      </c>
      <c r="L155" s="227"/>
      <c r="M155" s="228"/>
      <c r="N155" s="130">
        <v>0</v>
      </c>
      <c r="O155" s="229" t="s">
        <v>272</v>
      </c>
      <c r="P155" s="230"/>
      <c r="Q155" s="172">
        <f>SLb_QL</f>
        <v>0</v>
      </c>
    </row>
    <row r="156" spans="1:17" x14ac:dyDescent="0.25">
      <c r="A156" s="458"/>
      <c r="B156" s="475"/>
      <c r="C156" s="425"/>
      <c r="D156" s="477"/>
      <c r="E156" s="457"/>
      <c r="F156" s="423"/>
      <c r="G156" s="443"/>
      <c r="H156" s="422"/>
      <c r="I156" s="423"/>
      <c r="J156" s="427"/>
      <c r="K156" s="226" t="s">
        <v>277</v>
      </c>
      <c r="L156" s="227"/>
      <c r="M156" s="228"/>
      <c r="N156" s="130">
        <v>0</v>
      </c>
      <c r="O156" s="229" t="s">
        <v>271</v>
      </c>
      <c r="P156" s="230"/>
      <c r="Q156" s="172">
        <f>SCb_QL</f>
        <v>7.0491855420969367</v>
      </c>
    </row>
    <row r="157" spans="1:17" x14ac:dyDescent="0.25">
      <c r="A157" s="456" t="s">
        <v>251</v>
      </c>
      <c r="B157" s="474"/>
      <c r="C157" s="421"/>
      <c r="D157" s="199">
        <f>(Pressure*0.5*D/T)*0.001</f>
        <v>32</v>
      </c>
      <c r="E157" s="458"/>
      <c r="F157" s="425"/>
      <c r="G157" s="459"/>
      <c r="H157" s="424"/>
      <c r="I157" s="425"/>
      <c r="J157" s="488"/>
      <c r="K157" s="226" t="s">
        <v>276</v>
      </c>
      <c r="L157" s="227"/>
      <c r="M157" s="228"/>
      <c r="N157" s="130">
        <v>0</v>
      </c>
      <c r="O157" s="229" t="s">
        <v>270</v>
      </c>
      <c r="P157" s="230"/>
      <c r="Q157" s="172">
        <f>SLm_QL</f>
        <v>0</v>
      </c>
    </row>
    <row r="158" spans="1:17" x14ac:dyDescent="0.25">
      <c r="A158" s="458"/>
      <c r="B158" s="475"/>
      <c r="C158" s="425"/>
      <c r="D158" s="243"/>
      <c r="E158" s="456" t="s">
        <v>254</v>
      </c>
      <c r="F158" s="421"/>
      <c r="G158" s="442">
        <f>SCb_Qb_Primary</f>
        <v>7.0491855420969367</v>
      </c>
      <c r="H158" s="420" t="s">
        <v>260</v>
      </c>
      <c r="I158" s="421"/>
      <c r="J158" s="426">
        <f>SCm_PL</f>
        <v>0.13277000403551217</v>
      </c>
      <c r="K158" s="226" t="s">
        <v>275</v>
      </c>
      <c r="L158" s="227"/>
      <c r="M158" s="228"/>
      <c r="N158" s="130">
        <v>0</v>
      </c>
      <c r="O158" s="229" t="s">
        <v>269</v>
      </c>
      <c r="P158" s="230"/>
      <c r="Q158" s="172">
        <f>SCm_QL</f>
        <v>0.13277000403551217</v>
      </c>
    </row>
    <row r="159" spans="1:17" x14ac:dyDescent="0.25">
      <c r="A159" s="456" t="s">
        <v>252</v>
      </c>
      <c r="B159" s="474"/>
      <c r="C159" s="421"/>
      <c r="D159" s="199">
        <f>0.5*D157</f>
        <v>16</v>
      </c>
      <c r="E159" s="457"/>
      <c r="F159" s="423"/>
      <c r="G159" s="443"/>
      <c r="H159" s="422"/>
      <c r="I159" s="423"/>
      <c r="J159" s="427"/>
      <c r="K159" s="429" t="s">
        <v>235</v>
      </c>
      <c r="L159" s="430"/>
      <c r="M159" s="431"/>
      <c r="N159" s="130">
        <v>0</v>
      </c>
      <c r="O159" s="229" t="s">
        <v>135</v>
      </c>
      <c r="P159" s="230"/>
      <c r="Q159" s="172">
        <f>SSb_QL</f>
        <v>0</v>
      </c>
    </row>
    <row r="160" spans="1:17" x14ac:dyDescent="0.25">
      <c r="A160" s="458"/>
      <c r="B160" s="475"/>
      <c r="C160" s="425"/>
      <c r="D160" s="243"/>
      <c r="E160" s="458"/>
      <c r="F160" s="425"/>
      <c r="G160" s="459"/>
      <c r="H160" s="424"/>
      <c r="I160" s="425"/>
      <c r="J160" s="488"/>
      <c r="K160" s="429" t="s">
        <v>236</v>
      </c>
      <c r="L160" s="430"/>
      <c r="M160" s="431"/>
      <c r="N160" s="130">
        <v>0</v>
      </c>
      <c r="O160" s="229" t="s">
        <v>234</v>
      </c>
      <c r="P160" s="230"/>
      <c r="Q160" s="172">
        <f>SSm_QL</f>
        <v>0</v>
      </c>
    </row>
    <row r="161" spans="1:19" x14ac:dyDescent="0.25">
      <c r="A161" s="229" t="s">
        <v>253</v>
      </c>
      <c r="B161" s="230"/>
      <c r="C161" s="230"/>
      <c r="D161" s="198">
        <f>D157</f>
        <v>32</v>
      </c>
      <c r="E161" s="456" t="s">
        <v>255</v>
      </c>
      <c r="F161" s="421"/>
      <c r="G161" s="442">
        <f>SSb_Qb_Primary</f>
        <v>0</v>
      </c>
      <c r="H161" s="420" t="s">
        <v>256</v>
      </c>
      <c r="I161" s="421"/>
      <c r="J161" s="426">
        <f>SSm_PL</f>
        <v>0</v>
      </c>
      <c r="K161" s="226" t="s">
        <v>279</v>
      </c>
      <c r="L161" s="227"/>
      <c r="M161" s="228"/>
      <c r="N161" s="131">
        <f>N155+N157</f>
        <v>0</v>
      </c>
      <c r="O161" s="229" t="s">
        <v>273</v>
      </c>
      <c r="P161" s="230"/>
      <c r="Q161" s="172">
        <f>Q155+Q157</f>
        <v>0</v>
      </c>
    </row>
    <row r="162" spans="1:19" x14ac:dyDescent="0.25">
      <c r="A162" s="229"/>
      <c r="B162" s="230"/>
      <c r="C162" s="230"/>
      <c r="D162" s="198"/>
      <c r="E162" s="457"/>
      <c r="F162" s="423"/>
      <c r="G162" s="443"/>
      <c r="H162" s="422"/>
      <c r="I162" s="423"/>
      <c r="J162" s="427"/>
      <c r="K162" s="226" t="s">
        <v>280</v>
      </c>
      <c r="L162" s="227"/>
      <c r="M162" s="228"/>
      <c r="N162" s="131">
        <f>N156+N158</f>
        <v>0</v>
      </c>
      <c r="O162" s="229" t="s">
        <v>274</v>
      </c>
      <c r="P162" s="230"/>
      <c r="Q162" s="172">
        <f>Q156+Q158</f>
        <v>7.1819555461324489</v>
      </c>
    </row>
    <row r="163" spans="1:19" ht="15.75" thickBot="1" x14ac:dyDescent="0.3">
      <c r="A163" s="484"/>
      <c r="B163" s="485"/>
      <c r="C163" s="485"/>
      <c r="D163" s="486"/>
      <c r="E163" s="487"/>
      <c r="F163" s="437"/>
      <c r="G163" s="444"/>
      <c r="H163" s="436"/>
      <c r="I163" s="437"/>
      <c r="J163" s="428"/>
      <c r="K163" s="432" t="s">
        <v>236</v>
      </c>
      <c r="L163" s="433"/>
      <c r="M163" s="434"/>
      <c r="N163" s="132">
        <f>N159+N160</f>
        <v>0</v>
      </c>
      <c r="O163" s="231" t="s">
        <v>135</v>
      </c>
      <c r="P163" s="232"/>
      <c r="Q163" s="173">
        <f>Q159+Q160</f>
        <v>0</v>
      </c>
    </row>
    <row r="164" spans="1:19" x14ac:dyDescent="0.25">
      <c r="A164" s="311"/>
      <c r="B164" s="312"/>
      <c r="C164" s="312"/>
      <c r="D164" s="313"/>
      <c r="E164" s="450" t="s">
        <v>137</v>
      </c>
      <c r="F164" s="439"/>
      <c r="G164" s="233" t="s">
        <v>139</v>
      </c>
      <c r="H164" s="234"/>
      <c r="I164" s="233" t="s">
        <v>140</v>
      </c>
      <c r="J164" s="234"/>
      <c r="K164" s="438" t="s">
        <v>141</v>
      </c>
      <c r="L164" s="439"/>
      <c r="M164" s="233" t="s">
        <v>142</v>
      </c>
      <c r="N164" s="234"/>
      <c r="O164" s="200" t="s">
        <v>143</v>
      </c>
      <c r="P164" s="202" t="s">
        <v>144</v>
      </c>
      <c r="Q164" s="196" t="s">
        <v>138</v>
      </c>
    </row>
    <row r="165" spans="1:19" ht="27" customHeight="1" thickBot="1" x14ac:dyDescent="0.3">
      <c r="A165" s="279"/>
      <c r="B165" s="280"/>
      <c r="C165" s="280"/>
      <c r="D165" s="281"/>
      <c r="E165" s="451"/>
      <c r="F165" s="441"/>
      <c r="G165" s="235"/>
      <c r="H165" s="236"/>
      <c r="I165" s="235"/>
      <c r="J165" s="236"/>
      <c r="K165" s="440"/>
      <c r="L165" s="441"/>
      <c r="M165" s="235"/>
      <c r="N165" s="236"/>
      <c r="O165" s="201"/>
      <c r="P165" s="203"/>
      <c r="Q165" s="197"/>
    </row>
    <row r="166" spans="1:19" x14ac:dyDescent="0.25">
      <c r="A166" s="279"/>
      <c r="B166" s="280"/>
      <c r="C166" s="280"/>
      <c r="D166" s="281"/>
      <c r="E166" s="452"/>
      <c r="F166" s="453"/>
      <c r="G166" s="269">
        <f>D155+D159</f>
        <v>66</v>
      </c>
      <c r="H166" s="269"/>
      <c r="I166" s="269">
        <f>D161</f>
        <v>32</v>
      </c>
      <c r="J166" s="269"/>
      <c r="K166" s="267">
        <f>0</f>
        <v>0</v>
      </c>
      <c r="L166" s="237"/>
      <c r="M166" s="267">
        <f>VonMises_1</f>
        <v>57.166423711825807</v>
      </c>
      <c r="N166" s="237"/>
      <c r="O166" s="239">
        <f>Sh</f>
        <v>137.9</v>
      </c>
      <c r="P166" s="237">
        <f>O166/M166</f>
        <v>2.4122551498961995</v>
      </c>
      <c r="Q166" s="300" t="str">
        <f>IF(O166&gt;M166,"Pass","Fail")</f>
        <v>Pass</v>
      </c>
    </row>
    <row r="167" spans="1:19" ht="15.75" thickBot="1" x14ac:dyDescent="0.3">
      <c r="A167" s="279"/>
      <c r="B167" s="280"/>
      <c r="C167" s="280"/>
      <c r="D167" s="281"/>
      <c r="E167" s="454"/>
      <c r="F167" s="455"/>
      <c r="G167" s="270"/>
      <c r="H167" s="270"/>
      <c r="I167" s="270"/>
      <c r="J167" s="270"/>
      <c r="K167" s="268"/>
      <c r="L167" s="238"/>
      <c r="M167" s="268"/>
      <c r="N167" s="238"/>
      <c r="O167" s="240"/>
      <c r="P167" s="238"/>
      <c r="Q167" s="301"/>
    </row>
    <row r="168" spans="1:19" x14ac:dyDescent="0.25">
      <c r="A168" s="279"/>
      <c r="B168" s="280"/>
      <c r="C168" s="280"/>
      <c r="D168" s="281"/>
      <c r="E168" s="257"/>
      <c r="F168" s="258"/>
      <c r="G168" s="269">
        <f>J155</f>
        <v>0</v>
      </c>
      <c r="H168" s="269"/>
      <c r="I168" s="269">
        <f>J158</f>
        <v>0.13277000403551217</v>
      </c>
      <c r="J168" s="269"/>
      <c r="K168" s="267">
        <f>J161</f>
        <v>0</v>
      </c>
      <c r="L168" s="237"/>
      <c r="M168" s="267">
        <f>VonMises2</f>
        <v>0.13277000403551217</v>
      </c>
      <c r="N168" s="237"/>
      <c r="O168" s="239">
        <f>1.5*Sh</f>
        <v>206.85000000000002</v>
      </c>
      <c r="P168" s="237">
        <f>O168/M168</f>
        <v>1557.9573225340384</v>
      </c>
      <c r="Q168" s="300" t="str">
        <f>IF(O168&gt;M168,"Pass","Fail")</f>
        <v>Pass</v>
      </c>
    </row>
    <row r="169" spans="1:19" ht="15.75" thickBot="1" x14ac:dyDescent="0.3">
      <c r="A169" s="279"/>
      <c r="B169" s="280"/>
      <c r="C169" s="280"/>
      <c r="D169" s="281"/>
      <c r="E169" s="276"/>
      <c r="F169" s="277"/>
      <c r="G169" s="270"/>
      <c r="H169" s="270"/>
      <c r="I169" s="270"/>
      <c r="J169" s="270"/>
      <c r="K169" s="268"/>
      <c r="L169" s="238"/>
      <c r="M169" s="268"/>
      <c r="N169" s="238"/>
      <c r="O169" s="240"/>
      <c r="P169" s="238"/>
      <c r="Q169" s="301"/>
    </row>
    <row r="170" spans="1:19" x14ac:dyDescent="0.25">
      <c r="A170" s="279"/>
      <c r="B170" s="280"/>
      <c r="C170" s="280"/>
      <c r="D170" s="281"/>
      <c r="E170" s="257"/>
      <c r="F170" s="258"/>
      <c r="G170" s="269">
        <f>(D155+D159)+(N161+Q161)</f>
        <v>66</v>
      </c>
      <c r="H170" s="269"/>
      <c r="I170" s="269">
        <f>D161+N162+Q162</f>
        <v>39.18195554613245</v>
      </c>
      <c r="J170" s="269"/>
      <c r="K170" s="267">
        <f>N163+Q163</f>
        <v>0</v>
      </c>
      <c r="L170" s="237"/>
      <c r="M170" s="267">
        <f>Vonmises3</f>
        <v>57.491012987895402</v>
      </c>
      <c r="N170" s="237"/>
      <c r="O170" s="239">
        <f>3*Sh</f>
        <v>413.70000000000005</v>
      </c>
      <c r="P170" s="237">
        <f>O170/M170</f>
        <v>7.1959072992348148</v>
      </c>
      <c r="Q170" s="300" t="str">
        <f>IF(O170&gt;M170,"Pass","Fail")</f>
        <v>Pass</v>
      </c>
    </row>
    <row r="171" spans="1:19" ht="15.75" thickBot="1" x14ac:dyDescent="0.3">
      <c r="A171" s="279"/>
      <c r="B171" s="280"/>
      <c r="C171" s="280"/>
      <c r="D171" s="281"/>
      <c r="E171" s="276"/>
      <c r="F171" s="277"/>
      <c r="G171" s="270"/>
      <c r="H171" s="270"/>
      <c r="I171" s="270"/>
      <c r="J171" s="270"/>
      <c r="K171" s="268"/>
      <c r="L171" s="238"/>
      <c r="M171" s="268"/>
      <c r="N171" s="238"/>
      <c r="O171" s="240"/>
      <c r="P171" s="238"/>
      <c r="Q171" s="301"/>
    </row>
    <row r="172" spans="1:19" x14ac:dyDescent="0.25">
      <c r="A172" s="279"/>
      <c r="B172" s="280"/>
      <c r="C172" s="280"/>
      <c r="D172" s="281"/>
      <c r="E172" s="257"/>
      <c r="F172" s="258"/>
      <c r="G172" s="269">
        <f>J155+G155+N161+Q161</f>
        <v>0</v>
      </c>
      <c r="H172" s="269"/>
      <c r="I172" s="269">
        <f>J158+G158+N162+Q162</f>
        <v>14.363911092264898</v>
      </c>
      <c r="J172" s="269"/>
      <c r="K172" s="267">
        <f>J161+G161+N163+Q163</f>
        <v>0</v>
      </c>
      <c r="L172" s="237"/>
      <c r="M172" s="267">
        <f>VonMises4</f>
        <v>14.363911092264898</v>
      </c>
      <c r="N172" s="237"/>
      <c r="O172" s="239">
        <f>3*Sh</f>
        <v>413.70000000000005</v>
      </c>
      <c r="P172" s="237">
        <f>O172/M172</f>
        <v>28.801347860109036</v>
      </c>
      <c r="Q172" s="300" t="str">
        <f>IF(O172&gt;M172,"Pass","Fail")</f>
        <v>Pass</v>
      </c>
    </row>
    <row r="173" spans="1:19" ht="15.75" thickBot="1" x14ac:dyDescent="0.3">
      <c r="A173" s="279"/>
      <c r="B173" s="280"/>
      <c r="C173" s="280"/>
      <c r="D173" s="281"/>
      <c r="E173" s="259"/>
      <c r="F173" s="260"/>
      <c r="G173" s="271"/>
      <c r="H173" s="271"/>
      <c r="I173" s="271"/>
      <c r="J173" s="271"/>
      <c r="K173" s="435"/>
      <c r="L173" s="242"/>
      <c r="M173" s="435"/>
      <c r="N173" s="242"/>
      <c r="O173" s="241"/>
      <c r="P173" s="242"/>
      <c r="Q173" s="302"/>
    </row>
    <row r="174" spans="1:19" ht="20.25" x14ac:dyDescent="0.25">
      <c r="A174" s="183" t="s">
        <v>244</v>
      </c>
      <c r="B174" s="184"/>
      <c r="C174" s="184"/>
      <c r="D174" s="184"/>
      <c r="E174" s="184"/>
      <c r="F174" s="184"/>
      <c r="G174" s="184"/>
      <c r="H174" s="184"/>
      <c r="I174" s="184"/>
      <c r="J174" s="184"/>
      <c r="K174" s="184"/>
      <c r="L174" s="184"/>
      <c r="M174" s="184"/>
      <c r="N174" s="184"/>
      <c r="O174" s="184"/>
      <c r="P174" s="184"/>
      <c r="Q174" s="185"/>
      <c r="R174" s="169"/>
      <c r="S174" s="169"/>
    </row>
    <row r="175" spans="1:19" ht="15.75" x14ac:dyDescent="0.25">
      <c r="A175" s="186" t="s">
        <v>261</v>
      </c>
      <c r="B175" s="187"/>
      <c r="C175" s="187"/>
      <c r="D175" s="187"/>
      <c r="E175" s="187"/>
      <c r="F175" s="187"/>
      <c r="G175" s="187"/>
      <c r="H175" s="187"/>
      <c r="I175" s="187"/>
      <c r="J175" s="187"/>
      <c r="K175" s="187"/>
      <c r="L175" s="187"/>
      <c r="M175" s="187"/>
      <c r="N175" s="187"/>
      <c r="O175" s="187"/>
      <c r="P175" s="187"/>
      <c r="Q175" s="188"/>
      <c r="R175" s="170"/>
      <c r="S175" s="170"/>
    </row>
    <row r="176" spans="1:19" ht="30.75" customHeight="1" x14ac:dyDescent="0.25">
      <c r="A176" s="174" t="s">
        <v>243</v>
      </c>
      <c r="B176" s="175"/>
      <c r="C176" s="175"/>
      <c r="D176" s="175"/>
      <c r="E176" s="175"/>
      <c r="F176" s="175"/>
      <c r="G176" s="175"/>
      <c r="H176" s="175"/>
      <c r="I176" s="175"/>
      <c r="J176" s="175"/>
      <c r="K176" s="175"/>
      <c r="L176" s="175"/>
      <c r="M176" s="175"/>
      <c r="N176" s="175"/>
      <c r="O176" s="175"/>
      <c r="P176" s="175"/>
      <c r="Q176" s="176"/>
      <c r="R176" s="170"/>
      <c r="S176" s="170"/>
    </row>
    <row r="177" spans="1:19" ht="54" customHeight="1" x14ac:dyDescent="0.25">
      <c r="A177" s="174" t="s">
        <v>282</v>
      </c>
      <c r="B177" s="175"/>
      <c r="C177" s="175"/>
      <c r="D177" s="175"/>
      <c r="E177" s="175"/>
      <c r="F177" s="175"/>
      <c r="G177" s="175"/>
      <c r="H177" s="175"/>
      <c r="I177" s="175"/>
      <c r="J177" s="175"/>
      <c r="K177" s="175"/>
      <c r="L177" s="175"/>
      <c r="M177" s="175"/>
      <c r="N177" s="175"/>
      <c r="O177" s="175"/>
      <c r="P177" s="175"/>
      <c r="Q177" s="176"/>
      <c r="R177" s="170"/>
      <c r="S177" s="170"/>
    </row>
    <row r="178" spans="1:19" ht="15.75" x14ac:dyDescent="0.25">
      <c r="A178" s="177" t="s">
        <v>262</v>
      </c>
      <c r="B178" s="178"/>
      <c r="C178" s="178"/>
      <c r="D178" s="178"/>
      <c r="E178" s="178"/>
      <c r="F178" s="178"/>
      <c r="G178" s="178"/>
      <c r="H178" s="178"/>
      <c r="I178" s="178"/>
      <c r="J178" s="178"/>
      <c r="K178" s="178"/>
      <c r="L178" s="178"/>
      <c r="M178" s="178"/>
      <c r="N178" s="178"/>
      <c r="O178" s="178"/>
      <c r="P178" s="178"/>
      <c r="Q178" s="179"/>
      <c r="R178" s="170"/>
      <c r="S178" s="170"/>
    </row>
    <row r="179" spans="1:19" ht="15.75" x14ac:dyDescent="0.25">
      <c r="A179" s="177" t="s">
        <v>245</v>
      </c>
      <c r="B179" s="178"/>
      <c r="C179" s="178"/>
      <c r="D179" s="178"/>
      <c r="E179" s="178"/>
      <c r="F179" s="178"/>
      <c r="G179" s="178"/>
      <c r="H179" s="178"/>
      <c r="I179" s="178"/>
      <c r="J179" s="178"/>
      <c r="K179" s="178"/>
      <c r="L179" s="178"/>
      <c r="M179" s="178"/>
      <c r="N179" s="178"/>
      <c r="O179" s="178"/>
      <c r="P179" s="178"/>
      <c r="Q179" s="179"/>
      <c r="R179" s="170"/>
      <c r="S179" s="168"/>
    </row>
    <row r="180" spans="1:19" ht="31.5" customHeight="1" x14ac:dyDescent="0.25">
      <c r="A180" s="174" t="s">
        <v>265</v>
      </c>
      <c r="B180" s="175"/>
      <c r="C180" s="175"/>
      <c r="D180" s="175"/>
      <c r="E180" s="175"/>
      <c r="F180" s="175"/>
      <c r="G180" s="175"/>
      <c r="H180" s="175"/>
      <c r="I180" s="175"/>
      <c r="J180" s="175"/>
      <c r="K180" s="175"/>
      <c r="L180" s="175"/>
      <c r="M180" s="175"/>
      <c r="N180" s="175"/>
      <c r="O180" s="175"/>
      <c r="P180" s="175"/>
      <c r="Q180" s="176"/>
      <c r="R180" s="170"/>
      <c r="S180" s="170"/>
    </row>
    <row r="181" spans="1:19" ht="41.25" customHeight="1" x14ac:dyDescent="0.25">
      <c r="A181" s="174" t="s">
        <v>281</v>
      </c>
      <c r="B181" s="175"/>
      <c r="C181" s="175"/>
      <c r="D181" s="175"/>
      <c r="E181" s="175"/>
      <c r="F181" s="175"/>
      <c r="G181" s="175"/>
      <c r="H181" s="175"/>
      <c r="I181" s="175"/>
      <c r="J181" s="175"/>
      <c r="K181" s="175"/>
      <c r="L181" s="175"/>
      <c r="M181" s="175"/>
      <c r="N181" s="175"/>
      <c r="O181" s="175"/>
      <c r="P181" s="175"/>
      <c r="Q181" s="176"/>
      <c r="R181" s="170"/>
      <c r="S181" s="170"/>
    </row>
    <row r="182" spans="1:19" ht="15.75" x14ac:dyDescent="0.25">
      <c r="A182" s="177" t="s">
        <v>263</v>
      </c>
      <c r="B182" s="178"/>
      <c r="C182" s="178"/>
      <c r="D182" s="178"/>
      <c r="E182" s="178"/>
      <c r="F182" s="178"/>
      <c r="G182" s="178"/>
      <c r="H182" s="178"/>
      <c r="I182" s="178"/>
      <c r="J182" s="178"/>
      <c r="K182" s="178"/>
      <c r="L182" s="178"/>
      <c r="M182" s="178"/>
      <c r="N182" s="178"/>
      <c r="O182" s="178"/>
      <c r="P182" s="178"/>
      <c r="Q182" s="179"/>
      <c r="R182" s="170"/>
      <c r="S182" s="170"/>
    </row>
    <row r="183" spans="1:19" ht="29.25" customHeight="1" x14ac:dyDescent="0.25">
      <c r="A183" s="174" t="s">
        <v>264</v>
      </c>
      <c r="B183" s="175"/>
      <c r="C183" s="175"/>
      <c r="D183" s="175"/>
      <c r="E183" s="175"/>
      <c r="F183" s="175"/>
      <c r="G183" s="175"/>
      <c r="H183" s="175"/>
      <c r="I183" s="175"/>
      <c r="J183" s="175"/>
      <c r="K183" s="175"/>
      <c r="L183" s="175"/>
      <c r="M183" s="175"/>
      <c r="N183" s="175"/>
      <c r="O183" s="175"/>
      <c r="P183" s="175"/>
      <c r="Q183" s="176"/>
      <c r="R183" s="170"/>
      <c r="S183" s="170"/>
    </row>
    <row r="184" spans="1:19" ht="15.75" x14ac:dyDescent="0.25">
      <c r="A184" s="177" t="s">
        <v>246</v>
      </c>
      <c r="B184" s="178"/>
      <c r="C184" s="178"/>
      <c r="D184" s="178"/>
      <c r="E184" s="178"/>
      <c r="F184" s="178"/>
      <c r="G184" s="178"/>
      <c r="H184" s="178"/>
      <c r="I184" s="178"/>
      <c r="J184" s="178"/>
      <c r="K184" s="178"/>
      <c r="L184" s="178"/>
      <c r="M184" s="178"/>
      <c r="N184" s="178"/>
      <c r="O184" s="178"/>
      <c r="P184" s="178"/>
      <c r="Q184" s="179"/>
      <c r="R184" s="170"/>
      <c r="S184" s="170"/>
    </row>
    <row r="185" spans="1:19" ht="15.75" x14ac:dyDescent="0.25">
      <c r="A185" s="177" t="s">
        <v>266</v>
      </c>
      <c r="B185" s="178"/>
      <c r="C185" s="178"/>
      <c r="D185" s="178"/>
      <c r="E185" s="178"/>
      <c r="F185" s="178"/>
      <c r="G185" s="178"/>
      <c r="H185" s="178"/>
      <c r="I185" s="178"/>
      <c r="J185" s="178"/>
      <c r="K185" s="178"/>
      <c r="L185" s="178"/>
      <c r="M185" s="178"/>
      <c r="N185" s="178"/>
      <c r="O185" s="178"/>
      <c r="P185" s="178"/>
      <c r="Q185" s="179"/>
      <c r="R185" s="170"/>
      <c r="S185" s="170"/>
    </row>
    <row r="186" spans="1:19" ht="16.5" thickBot="1" x14ac:dyDescent="0.3">
      <c r="A186" s="180" t="s">
        <v>267</v>
      </c>
      <c r="B186" s="181"/>
      <c r="C186" s="181"/>
      <c r="D186" s="181"/>
      <c r="E186" s="181"/>
      <c r="F186" s="181"/>
      <c r="G186" s="181"/>
      <c r="H186" s="181"/>
      <c r="I186" s="181"/>
      <c r="J186" s="181"/>
      <c r="K186" s="181"/>
      <c r="L186" s="181"/>
      <c r="M186" s="181"/>
      <c r="N186" s="181"/>
      <c r="O186" s="181"/>
      <c r="P186" s="181"/>
      <c r="Q186" s="182"/>
    </row>
    <row r="187" spans="1:19" ht="15.75" x14ac:dyDescent="0.25">
      <c r="A187" s="171"/>
      <c r="B187" s="1"/>
      <c r="C187" s="1"/>
      <c r="D187" s="1"/>
      <c r="E187" s="1"/>
      <c r="F187" s="1"/>
      <c r="G187" s="1"/>
      <c r="H187" s="1"/>
      <c r="I187" s="1"/>
      <c r="J187" s="1"/>
      <c r="K187" s="1"/>
      <c r="L187" s="1"/>
      <c r="M187" s="1"/>
      <c r="N187" s="1"/>
      <c r="O187" s="1"/>
      <c r="P187" s="1"/>
      <c r="Q187" s="1"/>
    </row>
    <row r="188" spans="1:19" ht="15.75" x14ac:dyDescent="0.25">
      <c r="A188" s="171"/>
      <c r="B188" s="1"/>
      <c r="C188" s="1"/>
      <c r="D188" s="1"/>
      <c r="E188" s="1"/>
      <c r="F188" s="1"/>
      <c r="G188" s="1"/>
      <c r="H188" s="1"/>
      <c r="I188" s="1"/>
      <c r="J188" s="1"/>
      <c r="K188" s="1"/>
      <c r="L188" s="1"/>
      <c r="M188" s="1"/>
      <c r="N188" s="1"/>
      <c r="O188" s="1"/>
      <c r="P188" s="1"/>
      <c r="Q188" s="1"/>
    </row>
    <row r="189" spans="1:19" ht="15.75" x14ac:dyDescent="0.25">
      <c r="A189" s="171"/>
      <c r="B189" s="1"/>
      <c r="C189" s="1"/>
      <c r="D189" s="1"/>
      <c r="E189" s="1"/>
      <c r="F189" s="1"/>
      <c r="G189" s="1"/>
      <c r="H189" s="1"/>
      <c r="I189" s="1"/>
      <c r="J189" s="1"/>
      <c r="K189" s="1"/>
      <c r="L189" s="1"/>
      <c r="M189" s="1"/>
      <c r="N189" s="1"/>
      <c r="O189" s="1"/>
      <c r="P189" s="1"/>
      <c r="Q189" s="1"/>
    </row>
    <row r="190" spans="1:19" ht="15.75" x14ac:dyDescent="0.25">
      <c r="A190" s="171"/>
      <c r="B190" s="1"/>
      <c r="C190" s="1"/>
      <c r="D190" s="1"/>
      <c r="E190" s="1"/>
      <c r="F190" s="1"/>
      <c r="G190" s="1"/>
      <c r="H190" s="1"/>
      <c r="I190" s="1"/>
      <c r="J190" s="1"/>
      <c r="K190" s="1"/>
      <c r="L190" s="1"/>
      <c r="M190" s="1"/>
      <c r="N190" s="1"/>
      <c r="O190" s="1"/>
      <c r="P190" s="1"/>
      <c r="Q190" s="1"/>
    </row>
    <row r="191" spans="1:19" ht="15.75" x14ac:dyDescent="0.25">
      <c r="A191" s="171"/>
      <c r="B191" s="1"/>
      <c r="C191" s="1"/>
      <c r="D191" s="1"/>
      <c r="E191" s="1"/>
      <c r="F191" s="1"/>
      <c r="G191" s="1"/>
      <c r="H191" s="1"/>
      <c r="I191" s="1"/>
      <c r="J191" s="1"/>
      <c r="K191" s="1"/>
      <c r="L191" s="1"/>
      <c r="M191" s="1"/>
      <c r="N191" s="1"/>
      <c r="O191" s="1"/>
      <c r="P191" s="1"/>
      <c r="Q191" s="1"/>
    </row>
    <row r="192" spans="1:19" ht="15.75" x14ac:dyDescent="0.25">
      <c r="A192" s="171"/>
      <c r="B192" s="1"/>
      <c r="C192" s="1"/>
      <c r="D192" s="1"/>
      <c r="E192" s="1"/>
      <c r="F192" s="1"/>
      <c r="G192" s="1"/>
      <c r="H192" s="1"/>
      <c r="I192" s="1"/>
      <c r="J192" s="1"/>
      <c r="K192" s="1"/>
      <c r="L192" s="1"/>
      <c r="M192" s="1"/>
      <c r="N192" s="1"/>
      <c r="O192" s="1"/>
      <c r="P192" s="1"/>
      <c r="Q192" s="1"/>
    </row>
    <row r="193" spans="1:17" ht="15.75" x14ac:dyDescent="0.25">
      <c r="A193" s="171"/>
      <c r="B193" s="1"/>
      <c r="C193" s="1"/>
      <c r="D193" s="1"/>
      <c r="E193" s="1"/>
      <c r="F193" s="1"/>
      <c r="G193" s="1"/>
      <c r="H193" s="1"/>
      <c r="I193" s="1"/>
      <c r="J193" s="1"/>
      <c r="K193" s="1"/>
      <c r="L193" s="1"/>
      <c r="M193" s="1"/>
      <c r="N193" s="1"/>
      <c r="O193" s="1"/>
      <c r="P193" s="1"/>
      <c r="Q193" s="1"/>
    </row>
    <row r="194" spans="1:17" ht="15.75" x14ac:dyDescent="0.25">
      <c r="A194" s="171"/>
      <c r="B194" s="1"/>
      <c r="C194" s="1"/>
      <c r="D194" s="1"/>
      <c r="E194" s="1"/>
      <c r="F194" s="1"/>
      <c r="G194" s="1"/>
      <c r="H194" s="1"/>
      <c r="I194" s="1"/>
      <c r="J194" s="1"/>
      <c r="K194" s="1"/>
      <c r="L194" s="1"/>
      <c r="M194" s="1"/>
      <c r="N194" s="1"/>
      <c r="O194" s="1"/>
      <c r="P194" s="1"/>
      <c r="Q194" s="1"/>
    </row>
    <row r="195" spans="1:17" ht="15.75" x14ac:dyDescent="0.25">
      <c r="A195" s="171"/>
      <c r="B195" s="1"/>
      <c r="C195" s="1"/>
      <c r="D195" s="1"/>
      <c r="E195" s="1"/>
      <c r="F195" s="1"/>
      <c r="G195" s="1"/>
      <c r="H195" s="1"/>
      <c r="I195" s="1"/>
      <c r="J195" s="1"/>
      <c r="K195" s="1"/>
      <c r="L195" s="1"/>
      <c r="M195" s="1"/>
      <c r="N195" s="1"/>
      <c r="O195" s="1"/>
      <c r="P195" s="1"/>
      <c r="Q195" s="1"/>
    </row>
    <row r="196" spans="1:17" x14ac:dyDescent="0.25">
      <c r="A196" s="1"/>
      <c r="B196" s="1"/>
      <c r="C196" s="1"/>
      <c r="D196" s="1"/>
      <c r="E196" s="1"/>
      <c r="F196" s="1"/>
      <c r="G196" s="1"/>
      <c r="H196" s="1"/>
      <c r="I196" s="1"/>
      <c r="J196" s="1"/>
      <c r="K196" s="1"/>
      <c r="L196" s="1"/>
      <c r="M196" s="1"/>
      <c r="N196" s="1"/>
      <c r="O196" s="1"/>
      <c r="P196" s="1"/>
      <c r="Q196" s="1"/>
    </row>
    <row r="197" spans="1:17" x14ac:dyDescent="0.25">
      <c r="A197" s="1"/>
      <c r="B197" s="1"/>
      <c r="C197" s="1"/>
      <c r="D197" s="1"/>
      <c r="E197" s="1"/>
      <c r="F197" s="1"/>
      <c r="G197" s="1"/>
      <c r="H197" s="1"/>
      <c r="I197" s="1"/>
      <c r="J197" s="1"/>
      <c r="K197" s="1"/>
      <c r="L197" s="1"/>
      <c r="M197" s="1"/>
      <c r="N197" s="1"/>
      <c r="O197" s="1"/>
      <c r="P197" s="1"/>
      <c r="Q197" s="1"/>
    </row>
    <row r="198" spans="1:17" x14ac:dyDescent="0.25">
      <c r="A198" s="1"/>
      <c r="B198" s="1"/>
      <c r="C198" s="1"/>
      <c r="D198" s="1"/>
      <c r="E198" s="1"/>
      <c r="F198" s="1"/>
      <c r="G198" s="1"/>
      <c r="H198" s="1"/>
      <c r="I198" s="1"/>
      <c r="J198" s="1"/>
      <c r="K198" s="1"/>
      <c r="L198" s="1"/>
      <c r="M198" s="1"/>
      <c r="N198" s="1"/>
      <c r="O198" s="1"/>
      <c r="P198" s="1"/>
      <c r="Q198" s="1"/>
    </row>
    <row r="199" spans="1:17" x14ac:dyDescent="0.25">
      <c r="A199" s="1"/>
      <c r="B199" s="1"/>
      <c r="C199" s="1"/>
      <c r="D199" s="1"/>
      <c r="E199" s="1"/>
      <c r="F199" s="1"/>
      <c r="G199" s="1"/>
      <c r="H199" s="1"/>
      <c r="I199" s="1"/>
      <c r="J199" s="1"/>
      <c r="K199" s="1"/>
      <c r="L199" s="1"/>
      <c r="M199" s="1"/>
      <c r="N199" s="1"/>
      <c r="O199" s="1"/>
      <c r="P199" s="1"/>
      <c r="Q199" s="1"/>
    </row>
    <row r="200" spans="1:17" x14ac:dyDescent="0.25">
      <c r="A200" s="1"/>
      <c r="B200" s="1"/>
      <c r="C200" s="1"/>
      <c r="D200" s="1"/>
      <c r="E200" s="1"/>
      <c r="F200" s="1"/>
      <c r="G200" s="1"/>
      <c r="H200" s="1"/>
      <c r="I200" s="1"/>
      <c r="J200" s="1"/>
      <c r="K200" s="1"/>
      <c r="L200" s="1"/>
      <c r="M200" s="1"/>
      <c r="N200" s="1"/>
      <c r="O200" s="1"/>
      <c r="P200" s="1"/>
      <c r="Q200" s="1"/>
    </row>
    <row r="201" spans="1:17" x14ac:dyDescent="0.25">
      <c r="A201" s="1"/>
      <c r="B201" s="1"/>
      <c r="C201" s="1"/>
      <c r="D201" s="1"/>
      <c r="E201" s="1"/>
      <c r="F201" s="1"/>
      <c r="G201" s="1"/>
      <c r="H201" s="1"/>
      <c r="I201" s="1"/>
      <c r="J201" s="1"/>
      <c r="K201" s="1"/>
      <c r="L201" s="1"/>
      <c r="M201" s="1"/>
      <c r="N201" s="1"/>
      <c r="O201" s="1"/>
      <c r="P201" s="1"/>
      <c r="Q201" s="1"/>
    </row>
  </sheetData>
  <sheetProtection algorithmName="SHA-512" hashValue="R/0PKgKXk35ZdBLpqQHan8ionVaJUgfyOFvH59bwqVBArkRlQ30M2J4iDHVYD15ChQgLvJIBN1ntp8W5LuaKmw==" saltValue="QeT1KJ/IruT+xZuJVlkSfw==" spinCount="100000" sheet="1" objects="1" scenarios="1" selectLockedCells="1"/>
  <mergeCells count="274">
    <mergeCell ref="A155:C156"/>
    <mergeCell ref="D155:D156"/>
    <mergeCell ref="A146:D154"/>
    <mergeCell ref="E138:J139"/>
    <mergeCell ref="E136:J137"/>
    <mergeCell ref="A161:C163"/>
    <mergeCell ref="D161:D163"/>
    <mergeCell ref="A159:C160"/>
    <mergeCell ref="D159:D160"/>
    <mergeCell ref="A157:C158"/>
    <mergeCell ref="D157:D158"/>
    <mergeCell ref="E155:F157"/>
    <mergeCell ref="G155:G157"/>
    <mergeCell ref="E161:F163"/>
    <mergeCell ref="J158:J160"/>
    <mergeCell ref="J155:J157"/>
    <mergeCell ref="E144:J145"/>
    <mergeCell ref="A164:D173"/>
    <mergeCell ref="A32:A33"/>
    <mergeCell ref="B13:E13"/>
    <mergeCell ref="A13:A29"/>
    <mergeCell ref="B14:E23"/>
    <mergeCell ref="F13:I13"/>
    <mergeCell ref="F14:I23"/>
    <mergeCell ref="A30:A31"/>
    <mergeCell ref="F31:H31"/>
    <mergeCell ref="F29:H29"/>
    <mergeCell ref="H155:I157"/>
    <mergeCell ref="E164:F165"/>
    <mergeCell ref="E166:F167"/>
    <mergeCell ref="E168:F169"/>
    <mergeCell ref="E170:F171"/>
    <mergeCell ref="E158:F160"/>
    <mergeCell ref="G158:G160"/>
    <mergeCell ref="A140:D142"/>
    <mergeCell ref="A137:D139"/>
    <mergeCell ref="A134:D136"/>
    <mergeCell ref="E134:J135"/>
    <mergeCell ref="D130:D131"/>
    <mergeCell ref="E142:J143"/>
    <mergeCell ref="E140:J141"/>
    <mergeCell ref="G166:H167"/>
    <mergeCell ref="I166:J167"/>
    <mergeCell ref="K166:L167"/>
    <mergeCell ref="M166:N167"/>
    <mergeCell ref="G164:H165"/>
    <mergeCell ref="M170:N171"/>
    <mergeCell ref="M172:N173"/>
    <mergeCell ref="H161:I163"/>
    <mergeCell ref="I164:J165"/>
    <mergeCell ref="K164:L165"/>
    <mergeCell ref="G161:G163"/>
    <mergeCell ref="I168:J169"/>
    <mergeCell ref="I170:J171"/>
    <mergeCell ref="I172:J173"/>
    <mergeCell ref="K168:L169"/>
    <mergeCell ref="K170:L171"/>
    <mergeCell ref="K172:L173"/>
    <mergeCell ref="O156:P156"/>
    <mergeCell ref="K157:M157"/>
    <mergeCell ref="H158:I160"/>
    <mergeCell ref="K146:N154"/>
    <mergeCell ref="J161:J163"/>
    <mergeCell ref="K158:M158"/>
    <mergeCell ref="K159:M159"/>
    <mergeCell ref="K160:M160"/>
    <mergeCell ref="K161:M161"/>
    <mergeCell ref="K162:M162"/>
    <mergeCell ref="K163:M163"/>
    <mergeCell ref="A74:I74"/>
    <mergeCell ref="A133:D133"/>
    <mergeCell ref="A143:D145"/>
    <mergeCell ref="O146:Q154"/>
    <mergeCell ref="A132:D132"/>
    <mergeCell ref="A112:I112"/>
    <mergeCell ref="J112:Q112"/>
    <mergeCell ref="A113:I129"/>
    <mergeCell ref="J113:Q129"/>
    <mergeCell ref="E130:Q131"/>
    <mergeCell ref="A130:C131"/>
    <mergeCell ref="E132:J132"/>
    <mergeCell ref="E133:J133"/>
    <mergeCell ref="E146:G154"/>
    <mergeCell ref="H146:J154"/>
    <mergeCell ref="K132:N132"/>
    <mergeCell ref="K133:N133"/>
    <mergeCell ref="K142:N143"/>
    <mergeCell ref="O142:Q143"/>
    <mergeCell ref="O140:Q141"/>
    <mergeCell ref="O137:Q137"/>
    <mergeCell ref="K140:N141"/>
    <mergeCell ref="K136:N136"/>
    <mergeCell ref="K135:N135"/>
    <mergeCell ref="E47:E51"/>
    <mergeCell ref="J93:Q93"/>
    <mergeCell ref="J94:K94"/>
    <mergeCell ref="O94:P94"/>
    <mergeCell ref="A95:I111"/>
    <mergeCell ref="A93:I93"/>
    <mergeCell ref="A94:D94"/>
    <mergeCell ref="F56:H56"/>
    <mergeCell ref="A52:Q53"/>
    <mergeCell ref="A56:D56"/>
    <mergeCell ref="A57:I73"/>
    <mergeCell ref="A55:I55"/>
    <mergeCell ref="J55:Q55"/>
    <mergeCell ref="J56:L56"/>
    <mergeCell ref="N56:P56"/>
    <mergeCell ref="J57:Q73"/>
    <mergeCell ref="A54:Q54"/>
    <mergeCell ref="F75:H75"/>
    <mergeCell ref="A75:D75"/>
    <mergeCell ref="J76:Q92"/>
    <mergeCell ref="J95:Q111"/>
    <mergeCell ref="J74:Q74"/>
    <mergeCell ref="J75:L75"/>
    <mergeCell ref="N75:P75"/>
    <mergeCell ref="A1:E2"/>
    <mergeCell ref="F1:M2"/>
    <mergeCell ref="B7:D7"/>
    <mergeCell ref="B12:D12"/>
    <mergeCell ref="A3:A12"/>
    <mergeCell ref="B3:E3"/>
    <mergeCell ref="B11:D11"/>
    <mergeCell ref="J11:K12"/>
    <mergeCell ref="J10:K10"/>
    <mergeCell ref="J9:K9"/>
    <mergeCell ref="B9:D9"/>
    <mergeCell ref="B10:D10"/>
    <mergeCell ref="B4:D4"/>
    <mergeCell ref="B5:D5"/>
    <mergeCell ref="B6:D6"/>
    <mergeCell ref="B31:D31"/>
    <mergeCell ref="B32:D32"/>
    <mergeCell ref="F32:H32"/>
    <mergeCell ref="F26:H27"/>
    <mergeCell ref="E26:E27"/>
    <mergeCell ref="F24:H25"/>
    <mergeCell ref="B30:D30"/>
    <mergeCell ref="F30:H30"/>
    <mergeCell ref="B8:E8"/>
    <mergeCell ref="A34:A51"/>
    <mergeCell ref="J34:J51"/>
    <mergeCell ref="B34:E43"/>
    <mergeCell ref="F34:I43"/>
    <mergeCell ref="K34:M43"/>
    <mergeCell ref="B46:D46"/>
    <mergeCell ref="B24:D25"/>
    <mergeCell ref="E24:E25"/>
    <mergeCell ref="B26:D27"/>
    <mergeCell ref="E28:E29"/>
    <mergeCell ref="B28:D29"/>
    <mergeCell ref="F28:H28"/>
    <mergeCell ref="J30:L30"/>
    <mergeCell ref="J26:L26"/>
    <mergeCell ref="J27:L27"/>
    <mergeCell ref="J28:L28"/>
    <mergeCell ref="F44:H45"/>
    <mergeCell ref="I44:I45"/>
    <mergeCell ref="F47:H51"/>
    <mergeCell ref="K44:L44"/>
    <mergeCell ref="I47:I51"/>
    <mergeCell ref="I24:I25"/>
    <mergeCell ref="I26:I27"/>
    <mergeCell ref="M24:M25"/>
    <mergeCell ref="Q170:Q171"/>
    <mergeCell ref="Q172:Q173"/>
    <mergeCell ref="O166:O167"/>
    <mergeCell ref="Q168:Q169"/>
    <mergeCell ref="N13:Q13"/>
    <mergeCell ref="J14:M23"/>
    <mergeCell ref="N14:Q23"/>
    <mergeCell ref="N30:P30"/>
    <mergeCell ref="J29:L29"/>
    <mergeCell ref="Q166:Q167"/>
    <mergeCell ref="O44:P44"/>
    <mergeCell ref="O45:P46"/>
    <mergeCell ref="O47:P51"/>
    <mergeCell ref="N29:P29"/>
    <mergeCell ref="N28:P28"/>
    <mergeCell ref="O34:Q43"/>
    <mergeCell ref="N33:P33"/>
    <mergeCell ref="N25:P25"/>
    <mergeCell ref="J24:L25"/>
    <mergeCell ref="N27:P27"/>
    <mergeCell ref="N24:P24"/>
    <mergeCell ref="J13:M13"/>
    <mergeCell ref="N26:P26"/>
    <mergeCell ref="J33:L33"/>
    <mergeCell ref="E172:F173"/>
    <mergeCell ref="J32:L32"/>
    <mergeCell ref="N32:P32"/>
    <mergeCell ref="M11:M12"/>
    <mergeCell ref="J7:M7"/>
    <mergeCell ref="J8:K8"/>
    <mergeCell ref="N31:P31"/>
    <mergeCell ref="J31:L31"/>
    <mergeCell ref="M168:N169"/>
    <mergeCell ref="G168:H169"/>
    <mergeCell ref="G170:H171"/>
    <mergeCell ref="G172:H173"/>
    <mergeCell ref="F3:I12"/>
    <mergeCell ref="A76:I92"/>
    <mergeCell ref="F94:H94"/>
    <mergeCell ref="L11:L12"/>
    <mergeCell ref="J3:M4"/>
    <mergeCell ref="J5:L5"/>
    <mergeCell ref="B33:D33"/>
    <mergeCell ref="F33:H33"/>
    <mergeCell ref="K45:L45"/>
    <mergeCell ref="B44:D44"/>
    <mergeCell ref="B45:D45"/>
    <mergeCell ref="B47:D51"/>
    <mergeCell ref="P166:P167"/>
    <mergeCell ref="O168:O169"/>
    <mergeCell ref="P168:P169"/>
    <mergeCell ref="O170:O171"/>
    <mergeCell ref="P170:P171"/>
    <mergeCell ref="O172:O173"/>
    <mergeCell ref="P172:P173"/>
    <mergeCell ref="M46:M47"/>
    <mergeCell ref="K46:L47"/>
    <mergeCell ref="K48:L49"/>
    <mergeCell ref="K50:L51"/>
    <mergeCell ref="M48:M49"/>
    <mergeCell ref="M50:M51"/>
    <mergeCell ref="O159:P159"/>
    <mergeCell ref="K138:N138"/>
    <mergeCell ref="K137:N137"/>
    <mergeCell ref="K139:N139"/>
    <mergeCell ref="O138:Q138"/>
    <mergeCell ref="O139:Q139"/>
    <mergeCell ref="O157:P157"/>
    <mergeCell ref="O132:Q132"/>
    <mergeCell ref="O133:Q133"/>
    <mergeCell ref="O134:Q134"/>
    <mergeCell ref="O135:Q135"/>
    <mergeCell ref="N2:O2"/>
    <mergeCell ref="P2:Q2"/>
    <mergeCell ref="N1:Q1"/>
    <mergeCell ref="Q164:Q165"/>
    <mergeCell ref="Q45:Q46"/>
    <mergeCell ref="Q47:Q51"/>
    <mergeCell ref="O164:O165"/>
    <mergeCell ref="P164:P165"/>
    <mergeCell ref="N34:N51"/>
    <mergeCell ref="K134:N134"/>
    <mergeCell ref="J6:L6"/>
    <mergeCell ref="N3:Q12"/>
    <mergeCell ref="O136:Q136"/>
    <mergeCell ref="O144:Q145"/>
    <mergeCell ref="K155:M155"/>
    <mergeCell ref="K156:M156"/>
    <mergeCell ref="O160:P160"/>
    <mergeCell ref="O161:P161"/>
    <mergeCell ref="O162:P162"/>
    <mergeCell ref="K144:N145"/>
    <mergeCell ref="O163:P163"/>
    <mergeCell ref="M164:N165"/>
    <mergeCell ref="O158:P158"/>
    <mergeCell ref="O155:P155"/>
    <mergeCell ref="A183:Q183"/>
    <mergeCell ref="A184:Q184"/>
    <mergeCell ref="A178:Q178"/>
    <mergeCell ref="A185:Q185"/>
    <mergeCell ref="A186:Q186"/>
    <mergeCell ref="A174:Q174"/>
    <mergeCell ref="A176:Q176"/>
    <mergeCell ref="A177:Q177"/>
    <mergeCell ref="A175:Q175"/>
    <mergeCell ref="A179:Q179"/>
    <mergeCell ref="A180:Q180"/>
    <mergeCell ref="A181:Q181"/>
    <mergeCell ref="A182:Q182"/>
  </mergeCells>
  <conditionalFormatting sqref="Q166:Q167">
    <cfRule type="expression" dxfId="3" priority="4">
      <formula>$Q$166="Fail"</formula>
    </cfRule>
  </conditionalFormatting>
  <conditionalFormatting sqref="Q168:Q169">
    <cfRule type="expression" dxfId="2" priority="3">
      <formula>$Q$168="Fail"</formula>
    </cfRule>
  </conditionalFormatting>
  <conditionalFormatting sqref="Q170:Q171">
    <cfRule type="expression" dxfId="1" priority="2">
      <formula>$Q$170="Fail"</formula>
    </cfRule>
  </conditionalFormatting>
  <conditionalFormatting sqref="Q172:Q173">
    <cfRule type="expression" dxfId="0" priority="1">
      <formula>$Q$172="Fail"</formula>
    </cfRule>
  </conditionalFormatting>
  <dataValidations count="13">
    <dataValidation type="decimal" operator="greaterThanOrEqual" allowBlank="1" showInputMessage="1" showErrorMessage="1" error="Enter a positive value_x000a_" sqref="D155:D156">
      <formula1>0</formula1>
    </dataValidation>
    <dataValidation type="whole" showInputMessage="1" showErrorMessage="1" error="Enter a positive value in a proper range" sqref="L94">
      <formula1>0</formula1>
      <formula2>(180-0.5*E44)</formula2>
    </dataValidation>
    <dataValidation type="decimal" showInputMessage="1" showErrorMessage="1" error="Enter a positive value in a proper range" prompt="This value should be grater than Saddle angle in Zick Model" sqref="E94">
      <formula1>E44</formula1>
      <formula2>180</formula2>
    </dataValidation>
    <dataValidation type="decimal" operator="greaterThan" showInputMessage="1" showErrorMessage="1" error="Enter a positive value" prompt="This value should be grater than Web length (L)" sqref="M56">
      <formula1>I24</formula1>
    </dataValidation>
    <dataValidation type="decimal" operator="greaterThan" showInputMessage="1" showErrorMessage="1" error="Enter a positive value _x000a_" sqref="Q75">
      <formula1>0</formula1>
    </dataValidation>
    <dataValidation type="decimal" showInputMessage="1" showErrorMessage="1" error="Enter a positive value in proper range" prompt="This value should be grater than Flange length (W)" sqref="M75">
      <formula1>Q26</formula1>
      <formula2>E4</formula2>
    </dataValidation>
    <dataValidation type="decimal" allowBlank="1" showInputMessage="1" showErrorMessage="1" error="Enter a positive value in proper range" prompt="This value should be grater than B" sqref="E75">
      <formula1>M27</formula1>
      <formula2>(E4-2*M26)</formula2>
    </dataValidation>
    <dataValidation type="decimal" allowBlank="1" showInputMessage="1" showErrorMessage="1" error="Enter a positive value in proper range" prompt="This value should be grater than Trunnion size (d)" sqref="E56">
      <formula1>E24</formula1>
      <formula2>E4</formula2>
    </dataValidation>
    <dataValidation type="decimal" operator="greaterThan" showInputMessage="1" showErrorMessage="1" error="Enter a positive value " sqref="I75">
      <formula1>0</formula1>
    </dataValidation>
    <dataValidation type="decimal" operator="greaterThan" showInputMessage="1" showErrorMessage="1" error="Enter a positive value" sqref="I56 I94 Q56">
      <formula1>0</formula1>
    </dataValidation>
    <dataValidation type="decimal" operator="greaterThan" showInputMessage="1" showErrorMessage="1" error="Enter a Positive Value" sqref="E4:E7 E10:E12">
      <formula1>0</formula1>
    </dataValidation>
    <dataValidation type="decimal" operator="greaterThanOrEqual" allowBlank="1" showInputMessage="1" showErrorMessage="1" error="Enter a Positive Value" sqref="M5:M6 L9:M12">
      <formula1>0</formula1>
    </dataValidation>
    <dataValidation operator="greaterThanOrEqual" showInputMessage="1" showErrorMessage="1" sqref="N155:N160"/>
  </dataValidations>
  <pageMargins left="0.7" right="0.7" top="0.75" bottom="0.75" header="0.3" footer="0.3"/>
  <pageSetup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1506" r:id="rId4" name="Check Box 2">
              <controlPr locked="0" defaultSize="0" autoFill="0" autoLine="0" autoPict="0">
                <anchor moveWithCells="1">
                  <from>
                    <xdr:col>7</xdr:col>
                    <xdr:colOff>142875</xdr:colOff>
                    <xdr:row>56</xdr:row>
                    <xdr:rowOff>38100</xdr:rowOff>
                  </from>
                  <to>
                    <xdr:col>8</xdr:col>
                    <xdr:colOff>314325</xdr:colOff>
                    <xdr:row>57</xdr:row>
                    <xdr:rowOff>66675</xdr:rowOff>
                  </to>
                </anchor>
              </controlPr>
            </control>
          </mc:Choice>
        </mc:AlternateContent>
        <mc:AlternateContent xmlns:mc="http://schemas.openxmlformats.org/markup-compatibility/2006">
          <mc:Choice Requires="x14">
            <control shapeId="21507" r:id="rId5" name="Check Box 3">
              <controlPr locked="0" defaultSize="0" autoFill="0" autoLine="0" autoPict="0">
                <anchor moveWithCells="1">
                  <from>
                    <xdr:col>7</xdr:col>
                    <xdr:colOff>142875</xdr:colOff>
                    <xdr:row>57</xdr:row>
                    <xdr:rowOff>66675</xdr:rowOff>
                  </from>
                  <to>
                    <xdr:col>8</xdr:col>
                    <xdr:colOff>381000</xdr:colOff>
                    <xdr:row>58</xdr:row>
                    <xdr:rowOff>66675</xdr:rowOff>
                  </to>
                </anchor>
              </controlPr>
            </control>
          </mc:Choice>
        </mc:AlternateContent>
        <mc:AlternateContent xmlns:mc="http://schemas.openxmlformats.org/markup-compatibility/2006">
          <mc:Choice Requires="x14">
            <control shapeId="21508" r:id="rId6" name="Group Box 4">
              <controlPr defaultSize="0" autoFill="0" autoPict="0">
                <anchor moveWithCells="1">
                  <from>
                    <xdr:col>8</xdr:col>
                    <xdr:colOff>66675</xdr:colOff>
                    <xdr:row>53</xdr:row>
                    <xdr:rowOff>9525</xdr:rowOff>
                  </from>
                  <to>
                    <xdr:col>9</xdr:col>
                    <xdr:colOff>552450</xdr:colOff>
                    <xdr:row>53</xdr:row>
                    <xdr:rowOff>180975</xdr:rowOff>
                  </to>
                </anchor>
              </controlPr>
            </control>
          </mc:Choice>
        </mc:AlternateContent>
        <mc:AlternateContent xmlns:mc="http://schemas.openxmlformats.org/markup-compatibility/2006">
          <mc:Choice Requires="x14">
            <control shapeId="21509" r:id="rId7" name="Option Button 5">
              <controlPr defaultSize="0" autoFill="0" autoLine="0" autoPict="0">
                <anchor moveWithCells="1">
                  <from>
                    <xdr:col>8</xdr:col>
                    <xdr:colOff>47625</xdr:colOff>
                    <xdr:row>52</xdr:row>
                    <xdr:rowOff>171450</xdr:rowOff>
                  </from>
                  <to>
                    <xdr:col>8</xdr:col>
                    <xdr:colOff>371475</xdr:colOff>
                    <xdr:row>53</xdr:row>
                    <xdr:rowOff>180975</xdr:rowOff>
                  </to>
                </anchor>
              </controlPr>
            </control>
          </mc:Choice>
        </mc:AlternateContent>
        <mc:AlternateContent xmlns:mc="http://schemas.openxmlformats.org/markup-compatibility/2006">
          <mc:Choice Requires="x14">
            <control shapeId="21510" r:id="rId8" name="Option Button 6">
              <controlPr defaultSize="0" autoFill="0" autoLine="0" autoPict="0">
                <anchor moveWithCells="1">
                  <from>
                    <xdr:col>9</xdr:col>
                    <xdr:colOff>123825</xdr:colOff>
                    <xdr:row>52</xdr:row>
                    <xdr:rowOff>171450</xdr:rowOff>
                  </from>
                  <to>
                    <xdr:col>9</xdr:col>
                    <xdr:colOff>400050</xdr:colOff>
                    <xdr:row>53</xdr:row>
                    <xdr:rowOff>180975</xdr:rowOff>
                  </to>
                </anchor>
              </controlPr>
            </control>
          </mc:Choice>
        </mc:AlternateContent>
        <mc:AlternateContent xmlns:mc="http://schemas.openxmlformats.org/markup-compatibility/2006">
          <mc:Choice Requires="x14">
            <control shapeId="21511" r:id="rId9" name="Check Box 7">
              <controlPr locked="0" defaultSize="0" autoFill="0" autoLine="0" autoPict="0">
                <anchor moveWithCells="1">
                  <from>
                    <xdr:col>15</xdr:col>
                    <xdr:colOff>714375</xdr:colOff>
                    <xdr:row>56</xdr:row>
                    <xdr:rowOff>104775</xdr:rowOff>
                  </from>
                  <to>
                    <xdr:col>16</xdr:col>
                    <xdr:colOff>447675</xdr:colOff>
                    <xdr:row>57</xdr:row>
                    <xdr:rowOff>57150</xdr:rowOff>
                  </to>
                </anchor>
              </controlPr>
            </control>
          </mc:Choice>
        </mc:AlternateContent>
        <mc:AlternateContent xmlns:mc="http://schemas.openxmlformats.org/markup-compatibility/2006">
          <mc:Choice Requires="x14">
            <control shapeId="21512" r:id="rId10" name="Check Box 8">
              <controlPr locked="0" defaultSize="0" autoFill="0" autoLine="0" autoPict="0">
                <anchor moveWithCells="1">
                  <from>
                    <xdr:col>15</xdr:col>
                    <xdr:colOff>714375</xdr:colOff>
                    <xdr:row>57</xdr:row>
                    <xdr:rowOff>104775</xdr:rowOff>
                  </from>
                  <to>
                    <xdr:col>17</xdr:col>
                    <xdr:colOff>0</xdr:colOff>
                    <xdr:row>58</xdr:row>
                    <xdr:rowOff>114300</xdr:rowOff>
                  </to>
                </anchor>
              </controlPr>
            </control>
          </mc:Choice>
        </mc:AlternateContent>
        <mc:AlternateContent xmlns:mc="http://schemas.openxmlformats.org/markup-compatibility/2006">
          <mc:Choice Requires="x14">
            <control shapeId="21513" r:id="rId11" name="Check Box 9">
              <controlPr defaultSize="0" autoFill="0" autoLine="0" autoPict="0">
                <anchor moveWithCells="1">
                  <from>
                    <xdr:col>7</xdr:col>
                    <xdr:colOff>114300</xdr:colOff>
                    <xdr:row>75</xdr:row>
                    <xdr:rowOff>28575</xdr:rowOff>
                  </from>
                  <to>
                    <xdr:col>8</xdr:col>
                    <xdr:colOff>323850</xdr:colOff>
                    <xdr:row>76</xdr:row>
                    <xdr:rowOff>38100</xdr:rowOff>
                  </to>
                </anchor>
              </controlPr>
            </control>
          </mc:Choice>
        </mc:AlternateContent>
        <mc:AlternateContent xmlns:mc="http://schemas.openxmlformats.org/markup-compatibility/2006">
          <mc:Choice Requires="x14">
            <control shapeId="21514" r:id="rId12" name="Check Box 10">
              <controlPr defaultSize="0" autoFill="0" autoLine="0" autoPict="0">
                <anchor moveWithCells="1">
                  <from>
                    <xdr:col>7</xdr:col>
                    <xdr:colOff>123825</xdr:colOff>
                    <xdr:row>76</xdr:row>
                    <xdr:rowOff>66675</xdr:rowOff>
                  </from>
                  <to>
                    <xdr:col>8</xdr:col>
                    <xdr:colOff>361950</xdr:colOff>
                    <xdr:row>77</xdr:row>
                    <xdr:rowOff>95250</xdr:rowOff>
                  </to>
                </anchor>
              </controlPr>
            </control>
          </mc:Choice>
        </mc:AlternateContent>
        <mc:AlternateContent xmlns:mc="http://schemas.openxmlformats.org/markup-compatibility/2006">
          <mc:Choice Requires="x14">
            <control shapeId="21515" r:id="rId13" name="Check Box 11">
              <controlPr defaultSize="0" autoFill="0" autoLine="0" autoPict="0">
                <anchor moveWithCells="1">
                  <from>
                    <xdr:col>15</xdr:col>
                    <xdr:colOff>352425</xdr:colOff>
                    <xdr:row>75</xdr:row>
                    <xdr:rowOff>28575</xdr:rowOff>
                  </from>
                  <to>
                    <xdr:col>16</xdr:col>
                    <xdr:colOff>609600</xdr:colOff>
                    <xdr:row>76</xdr:row>
                    <xdr:rowOff>47625</xdr:rowOff>
                  </to>
                </anchor>
              </controlPr>
            </control>
          </mc:Choice>
        </mc:AlternateContent>
        <mc:AlternateContent xmlns:mc="http://schemas.openxmlformats.org/markup-compatibility/2006">
          <mc:Choice Requires="x14">
            <control shapeId="21516" r:id="rId14" name="Check Box 12">
              <controlPr defaultSize="0" autoFill="0" autoLine="0" autoPict="0">
                <anchor moveWithCells="1">
                  <from>
                    <xdr:col>15</xdr:col>
                    <xdr:colOff>352425</xdr:colOff>
                    <xdr:row>76</xdr:row>
                    <xdr:rowOff>57150</xdr:rowOff>
                  </from>
                  <to>
                    <xdr:col>16</xdr:col>
                    <xdr:colOff>200025</xdr:colOff>
                    <xdr:row>77</xdr:row>
                    <xdr:rowOff>47625</xdr:rowOff>
                  </to>
                </anchor>
              </controlPr>
            </control>
          </mc:Choice>
        </mc:AlternateContent>
        <mc:AlternateContent xmlns:mc="http://schemas.openxmlformats.org/markup-compatibility/2006">
          <mc:Choice Requires="x14">
            <control shapeId="21517" r:id="rId15" name="Check Box 13">
              <controlPr defaultSize="0" autoFill="0" autoLine="0" autoPict="0">
                <anchor moveWithCells="1">
                  <from>
                    <xdr:col>6</xdr:col>
                    <xdr:colOff>323850</xdr:colOff>
                    <xdr:row>94</xdr:row>
                    <xdr:rowOff>9525</xdr:rowOff>
                  </from>
                  <to>
                    <xdr:col>8</xdr:col>
                    <xdr:colOff>342900</xdr:colOff>
                    <xdr:row>95</xdr:row>
                    <xdr:rowOff>38100</xdr:rowOff>
                  </to>
                </anchor>
              </controlPr>
            </control>
          </mc:Choice>
        </mc:AlternateContent>
        <mc:AlternateContent xmlns:mc="http://schemas.openxmlformats.org/markup-compatibility/2006">
          <mc:Choice Requires="x14">
            <control shapeId="21518" r:id="rId16" name="Check Box 14">
              <controlPr defaultSize="0" autoFill="0" autoLine="0" autoPict="0">
                <anchor moveWithCells="1">
                  <from>
                    <xdr:col>6</xdr:col>
                    <xdr:colOff>323850</xdr:colOff>
                    <xdr:row>95</xdr:row>
                    <xdr:rowOff>57150</xdr:rowOff>
                  </from>
                  <to>
                    <xdr:col>8</xdr:col>
                    <xdr:colOff>447675</xdr:colOff>
                    <xdr:row>96</xdr:row>
                    <xdr:rowOff>85725</xdr:rowOff>
                  </to>
                </anchor>
              </controlPr>
            </control>
          </mc:Choice>
        </mc:AlternateContent>
        <mc:AlternateContent xmlns:mc="http://schemas.openxmlformats.org/markup-compatibility/2006">
          <mc:Choice Requires="x14">
            <control shapeId="21519" r:id="rId17" name="Drop Down 15">
              <controlPr locked="0" defaultSize="0" autoLine="0" autoPict="0">
                <anchor moveWithCells="1">
                  <from>
                    <xdr:col>2</xdr:col>
                    <xdr:colOff>600075</xdr:colOff>
                    <xdr:row>129</xdr:row>
                    <xdr:rowOff>9525</xdr:rowOff>
                  </from>
                  <to>
                    <xdr:col>3</xdr:col>
                    <xdr:colOff>1428750</xdr:colOff>
                    <xdr:row>130</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73"/>
  <sheetViews>
    <sheetView workbookViewId="0">
      <selection activeCell="G158" sqref="G158:G160"/>
    </sheetView>
  </sheetViews>
  <sheetFormatPr defaultRowHeight="15" x14ac:dyDescent="0.25"/>
  <cols>
    <col min="4" max="4" width="12.7109375" customWidth="1"/>
    <col min="6" max="6" width="10.5703125" customWidth="1"/>
  </cols>
  <sheetData>
    <row r="1" spans="1:11" x14ac:dyDescent="0.25">
      <c r="A1" t="s">
        <v>202</v>
      </c>
      <c r="B1">
        <f>T*(1-0.01*MT)-Corr+TP_Bare_Roark</f>
        <v>13.734375</v>
      </c>
      <c r="C1" s="561" t="s">
        <v>53</v>
      </c>
      <c r="D1" s="107" t="s">
        <v>204</v>
      </c>
      <c r="E1" s="107">
        <f>(0.0796*FA_SUS*D*0.5)-(0.238*FA_SUS*D*0.5*(1-COS(BareAngle_at_B_Roark_Rad)))+(FA_SUS*0.5*D/PI())*(1-COS(BareAngle_at_B_Roark_Rad)-BareAngle_at_B_Roark_Rad*SIN(BareAngle_at_B_Roark_Rad)*0.5)</f>
        <v>74.207854490152783</v>
      </c>
      <c r="F1" s="107" t="s">
        <v>206</v>
      </c>
      <c r="G1" s="77">
        <f>0.000001*E1/B4</f>
        <v>3.3219920961634712</v>
      </c>
      <c r="H1" s="78" t="s">
        <v>45</v>
      </c>
    </row>
    <row r="2" spans="1:11" ht="15.75" thickBot="1" x14ac:dyDescent="0.3">
      <c r="A2" t="s">
        <v>203</v>
      </c>
      <c r="B2">
        <f>BareAngle_at_B_Roark*PI()/180</f>
        <v>0.52359877559829882</v>
      </c>
      <c r="C2" s="562"/>
      <c r="D2" s="108" t="s">
        <v>205</v>
      </c>
      <c r="E2" s="108">
        <f>0.238*FA_SUS*COS(BareAngle_at_B_Roark_Rad)-(FA_SUS/(2*PI()))*BareAngle_at_B_Roark_Rad*SIN(BareAngle_at_B_Roark_Rad)</f>
        <v>0.82223689717014881</v>
      </c>
      <c r="F2" s="108" t="s">
        <v>209</v>
      </c>
      <c r="G2" s="79">
        <f>E2*1000/(B3*Tnet_Bare_Roark)</f>
        <v>8.4256483892394055E-2</v>
      </c>
      <c r="H2" s="3" t="s">
        <v>210</v>
      </c>
    </row>
    <row r="3" spans="1:11" x14ac:dyDescent="0.25">
      <c r="A3" t="s">
        <v>207</v>
      </c>
      <c r="B3">
        <f>D+1.56*SQRT(0.5*D*Tnet_Bare_Roark)</f>
        <v>710.53377819144589</v>
      </c>
      <c r="C3" s="76" t="s">
        <v>211</v>
      </c>
      <c r="D3" s="76">
        <f>MAX(J3,G1)</f>
        <v>3.3219920961634712</v>
      </c>
      <c r="E3" s="76">
        <f>D3</f>
        <v>3.3219920961634712</v>
      </c>
      <c r="F3" s="166" t="s">
        <v>51</v>
      </c>
      <c r="G3" s="77" t="s">
        <v>204</v>
      </c>
      <c r="H3" s="77">
        <f>(0.0796*FA_EXP*D*0.5)-(0.238*FA_EXP*D*0.5*(1-COS(BareAngle_at_B_Roark_Rad)))+(FA_EXP*0.5*D/PI())*(1-COS(BareAngle_at_B_Roark_Rad)-BareAngle_at_B_Roark_Rad*SIN(BareAngle_at_B_Roark_Rad)*0.5)</f>
        <v>74.207854490152783</v>
      </c>
      <c r="I3" s="77" t="s">
        <v>206</v>
      </c>
      <c r="J3" s="77">
        <f>0.000001*H3/B4</f>
        <v>3.3219920961634712</v>
      </c>
      <c r="K3" s="78" t="s">
        <v>45</v>
      </c>
    </row>
    <row r="4" spans="1:11" ht="15.75" thickBot="1" x14ac:dyDescent="0.3">
      <c r="A4" t="s">
        <v>208</v>
      </c>
      <c r="B4">
        <f>(B3*0.001)*((Tnet_Bare_Roark*0.001)^2)/6</f>
        <v>2.2338359737777383E-5</v>
      </c>
      <c r="C4" s="76" t="s">
        <v>212</v>
      </c>
      <c r="D4" s="76">
        <f>MAX(J4,G2)</f>
        <v>8.4256483892394055E-2</v>
      </c>
      <c r="E4" s="76">
        <f>D4</f>
        <v>8.4256483892394055E-2</v>
      </c>
      <c r="F4" s="167"/>
      <c r="G4" s="79" t="s">
        <v>205</v>
      </c>
      <c r="H4" s="79">
        <f>0.238*FA_EXP*COS(BareAngle_at_B_Roark_Rad)-(FA_EXP/(2*PI()))*BareAngle_at_B_Roark_Rad*SIN(BareAngle_at_B_Roark_Rad)</f>
        <v>0.82223689717014881</v>
      </c>
      <c r="I4" s="79" t="s">
        <v>209</v>
      </c>
      <c r="J4" s="79">
        <f>H4*1000/(B3*Tnet_Bare_Roark)</f>
        <v>8.4256483892394055E-2</v>
      </c>
      <c r="K4" s="3" t="s">
        <v>210</v>
      </c>
    </row>
    <row r="5" spans="1:11" x14ac:dyDescent="0.25">
      <c r="C5" s="560" t="s">
        <v>53</v>
      </c>
      <c r="D5" s="560"/>
      <c r="E5" s="560"/>
      <c r="F5" s="560"/>
      <c r="G5" s="560" t="s">
        <v>52</v>
      </c>
      <c r="H5" s="560"/>
    </row>
    <row r="6" spans="1:11" ht="60" x14ac:dyDescent="0.25">
      <c r="A6" s="15" t="s">
        <v>199</v>
      </c>
      <c r="B6" s="15" t="s">
        <v>198</v>
      </c>
      <c r="C6" s="109" t="s">
        <v>63</v>
      </c>
      <c r="D6" s="109" t="s">
        <v>200</v>
      </c>
      <c r="E6" s="110" t="s">
        <v>215</v>
      </c>
      <c r="F6" s="110" t="s">
        <v>216</v>
      </c>
      <c r="G6" s="109" t="s">
        <v>63</v>
      </c>
      <c r="H6" s="109" t="s">
        <v>200</v>
      </c>
      <c r="I6" s="110" t="s">
        <v>215</v>
      </c>
      <c r="J6" s="110" t="s">
        <v>216</v>
      </c>
    </row>
    <row r="7" spans="1:11" x14ac:dyDescent="0.25">
      <c r="A7">
        <v>0</v>
      </c>
      <c r="B7">
        <f t="shared" ref="B7:B38" si="0">A7*PI()/180</f>
        <v>0</v>
      </c>
      <c r="C7" s="109">
        <f t="shared" ref="C7:C38" si="1">(0.0796*FA_SUS*D*0.5)-(0.238*FA_SUS*D*0.5*(1-COS(B7)))+(FA_SUS*0.5*D/PI())*(1-COS(B7)-B7*SIN(B7)*0.5)</f>
        <v>121.31040000000002</v>
      </c>
      <c r="D7" s="109">
        <f t="shared" ref="D7:D38" si="2">0.238*FA_SUS*COS(B7)-(FA_SUS/(2*PI()))*B7*SIN(B7)</f>
        <v>1.19</v>
      </c>
      <c r="E7" s="109">
        <f t="shared" ref="E7:E38" si="3">0.000001*C7/Z_BareRoark</f>
        <v>5.4305867317037899</v>
      </c>
      <c r="F7" s="109">
        <f t="shared" ref="F7:F38" si="4">D7*1000/(beff_Bare_Roark*Tnet_Bare_Roark)</f>
        <v>0.12194200500734843</v>
      </c>
      <c r="G7">
        <f t="shared" ref="G7:G38" si="5">(0.0796*FA_EXP*D*0.5)-(0.238*FA_EXP*D*0.5*(1-COS(B7)))+(FA_EXP*0.5*D/PI())*(1-COS(B7)-B7*SIN(B7)*0.5)</f>
        <v>121.31040000000002</v>
      </c>
      <c r="H7">
        <f t="shared" ref="H7:H38" si="6">0.238*FA_EXP*COS(B7)-(FA_EXP/(2*PI()))*B7*SIN(B7)</f>
        <v>1.19</v>
      </c>
      <c r="I7" s="109">
        <f t="shared" ref="I7:I38" si="7">0.000001*G7/Z_BareRoark</f>
        <v>5.4305867317037899</v>
      </c>
      <c r="J7" s="109">
        <f t="shared" ref="J7:J38" si="8">H7*1000/(beff_Bare_Roark*Tnet_Bare_Roark)</f>
        <v>0.12194200500734843</v>
      </c>
    </row>
    <row r="8" spans="1:11" x14ac:dyDescent="0.25">
      <c r="A8">
        <v>1</v>
      </c>
      <c r="B8">
        <f t="shared" si="0"/>
        <v>1.7453292519943295E-2</v>
      </c>
      <c r="C8" s="109">
        <f t="shared" si="1"/>
        <v>121.2551590810971</v>
      </c>
      <c r="D8" s="109">
        <f t="shared" si="2"/>
        <v>1.1895763627022544</v>
      </c>
      <c r="E8" s="109">
        <f t="shared" si="3"/>
        <v>5.4281138142849921</v>
      </c>
      <c r="F8" s="109">
        <f t="shared" si="4"/>
        <v>0.12189859393047198</v>
      </c>
      <c r="G8">
        <f t="shared" si="5"/>
        <v>121.2551590810971</v>
      </c>
      <c r="H8">
        <f t="shared" si="6"/>
        <v>1.1895763627022544</v>
      </c>
      <c r="I8" s="109">
        <f t="shared" si="7"/>
        <v>5.4281138142849921</v>
      </c>
      <c r="J8" s="109">
        <f t="shared" si="8"/>
        <v>0.12189859393047198</v>
      </c>
    </row>
    <row r="9" spans="1:11" x14ac:dyDescent="0.25">
      <c r="A9">
        <v>2</v>
      </c>
      <c r="B9">
        <f t="shared" si="0"/>
        <v>3.4906585039886591E-2</v>
      </c>
      <c r="C9" s="109">
        <f t="shared" si="1"/>
        <v>121.08947565643579</v>
      </c>
      <c r="D9" s="109">
        <f t="shared" si="2"/>
        <v>1.1883056536887657</v>
      </c>
      <c r="E9" s="109">
        <f t="shared" si="3"/>
        <v>5.4206968227687753</v>
      </c>
      <c r="F9" s="109">
        <f t="shared" si="4"/>
        <v>0.12176838148939152</v>
      </c>
      <c r="G9">
        <f t="shared" si="5"/>
        <v>121.08947565643579</v>
      </c>
      <c r="H9">
        <f t="shared" si="6"/>
        <v>1.1883056536887657</v>
      </c>
      <c r="I9" s="109">
        <f t="shared" si="7"/>
        <v>5.4206968227687753</v>
      </c>
      <c r="J9" s="109">
        <f t="shared" si="8"/>
        <v>0.12176838148939152</v>
      </c>
    </row>
    <row r="10" spans="1:11" x14ac:dyDescent="0.25">
      <c r="A10">
        <v>3</v>
      </c>
      <c r="B10">
        <f t="shared" si="0"/>
        <v>5.2359877559829883E-2</v>
      </c>
      <c r="C10" s="109">
        <f t="shared" si="1"/>
        <v>120.81346770332225</v>
      </c>
      <c r="D10" s="109">
        <f t="shared" si="2"/>
        <v>1.186188481514487</v>
      </c>
      <c r="E10" s="109">
        <f t="shared" si="3"/>
        <v>5.4083410385324422</v>
      </c>
      <c r="F10" s="109">
        <f t="shared" si="4"/>
        <v>0.12155143004411648</v>
      </c>
      <c r="G10">
        <f t="shared" si="5"/>
        <v>120.81346770332225</v>
      </c>
      <c r="H10">
        <f t="shared" si="6"/>
        <v>1.186188481514487</v>
      </c>
      <c r="I10" s="109">
        <f t="shared" si="7"/>
        <v>5.4083410385324422</v>
      </c>
      <c r="J10" s="109">
        <f t="shared" si="8"/>
        <v>0.12155143004411648</v>
      </c>
    </row>
    <row r="11" spans="1:11" x14ac:dyDescent="0.25">
      <c r="A11">
        <v>4</v>
      </c>
      <c r="B11">
        <f t="shared" si="0"/>
        <v>6.9813170079773182E-2</v>
      </c>
      <c r="C11" s="109">
        <f t="shared" si="1"/>
        <v>120.42733178782045</v>
      </c>
      <c r="D11" s="109">
        <f t="shared" si="2"/>
        <v>1.1832258601567394</v>
      </c>
      <c r="E11" s="109">
        <f t="shared" si="3"/>
        <v>5.3910552610611102</v>
      </c>
      <c r="F11" s="109">
        <f t="shared" si="4"/>
        <v>0.12124784349920779</v>
      </c>
      <c r="G11">
        <f t="shared" si="5"/>
        <v>120.42733178782045</v>
      </c>
      <c r="H11">
        <f t="shared" si="6"/>
        <v>1.1832258601567394</v>
      </c>
      <c r="I11" s="109">
        <f t="shared" si="7"/>
        <v>5.3910552610611102</v>
      </c>
      <c r="J11" s="109">
        <f t="shared" si="8"/>
        <v>0.12124784349920779</v>
      </c>
    </row>
    <row r="12" spans="1:11" x14ac:dyDescent="0.25">
      <c r="A12">
        <v>5</v>
      </c>
      <c r="B12">
        <f t="shared" si="0"/>
        <v>8.7266462599716474E-2</v>
      </c>
      <c r="C12" s="109">
        <f t="shared" si="1"/>
        <v>119.93134297061043</v>
      </c>
      <c r="D12" s="109">
        <f t="shared" si="2"/>
        <v>1.179419208593923</v>
      </c>
      <c r="E12" s="109">
        <f t="shared" si="3"/>
        <v>5.3688518037333441</v>
      </c>
      <c r="F12" s="109">
        <f t="shared" si="4"/>
        <v>0.12085776726060764</v>
      </c>
      <c r="G12">
        <f t="shared" si="5"/>
        <v>119.93134297061043</v>
      </c>
      <c r="H12">
        <f t="shared" si="6"/>
        <v>1.179419208593923</v>
      </c>
      <c r="I12" s="109">
        <f t="shared" si="7"/>
        <v>5.3688518037333441</v>
      </c>
      <c r="J12" s="109">
        <f t="shared" si="8"/>
        <v>0.12085776726060764</v>
      </c>
    </row>
    <row r="13" spans="1:11" x14ac:dyDescent="0.25">
      <c r="A13">
        <v>6</v>
      </c>
      <c r="B13">
        <f t="shared" si="0"/>
        <v>0.10471975511965977</v>
      </c>
      <c r="C13" s="109">
        <f t="shared" si="1"/>
        <v>119.32585467524436</v>
      </c>
      <c r="D13" s="109">
        <f t="shared" si="2"/>
        <v>1.1747703502159406</v>
      </c>
      <c r="E13" s="109">
        <f t="shared" si="3"/>
        <v>5.3417464879235137</v>
      </c>
      <c r="F13" s="109">
        <f t="shared" si="4"/>
        <v>0.12038138817522412</v>
      </c>
      <c r="G13">
        <f t="shared" si="5"/>
        <v>119.32585467524436</v>
      </c>
      <c r="H13">
        <f t="shared" si="6"/>
        <v>1.1747703502159406</v>
      </c>
      <c r="I13" s="109">
        <f t="shared" si="7"/>
        <v>5.3417464879235137</v>
      </c>
      <c r="J13" s="109">
        <f t="shared" si="8"/>
        <v>0.12038138817522412</v>
      </c>
    </row>
    <row r="14" spans="1:11" x14ac:dyDescent="0.25">
      <c r="A14">
        <v>7</v>
      </c>
      <c r="B14">
        <f t="shared" si="0"/>
        <v>0.12217304763960307</v>
      </c>
      <c r="C14" s="109">
        <f t="shared" si="1"/>
        <v>118.61129851885541</v>
      </c>
      <c r="D14" s="109">
        <f t="shared" si="2"/>
        <v>1.1692815120665616</v>
      </c>
      <c r="E14" s="109">
        <f t="shared" si="3"/>
        <v>5.3097586354232904</v>
      </c>
      <c r="F14" s="109">
        <f t="shared" si="4"/>
        <v>0.11981893445329463</v>
      </c>
      <c r="G14">
        <f t="shared" si="5"/>
        <v>118.61129851885541</v>
      </c>
      <c r="H14">
        <f t="shared" si="6"/>
        <v>1.1692815120665616</v>
      </c>
      <c r="I14" s="109">
        <f t="shared" si="7"/>
        <v>5.3097586354232904</v>
      </c>
      <c r="J14" s="109">
        <f t="shared" si="8"/>
        <v>0.11981893445329463</v>
      </c>
    </row>
    <row r="15" spans="1:11" x14ac:dyDescent="0.25">
      <c r="A15">
        <v>8</v>
      </c>
      <c r="B15">
        <f t="shared" si="0"/>
        <v>0.13962634015954636</v>
      </c>
      <c r="C15" s="109">
        <f t="shared" si="1"/>
        <v>117.78818410538969</v>
      </c>
      <c r="D15" s="109">
        <f t="shared" si="2"/>
        <v>1.162955323918017</v>
      </c>
      <c r="E15" s="109">
        <f t="shared" si="3"/>
        <v>5.2729110591854651</v>
      </c>
      <c r="F15" s="109">
        <f t="shared" si="4"/>
        <v>0.11917067557355744</v>
      </c>
      <c r="G15">
        <f t="shared" si="5"/>
        <v>117.78818410538969</v>
      </c>
      <c r="H15">
        <f t="shared" si="6"/>
        <v>1.162955323918017</v>
      </c>
      <c r="I15" s="109">
        <f t="shared" si="7"/>
        <v>5.2729110591854651</v>
      </c>
      <c r="J15" s="109">
        <f t="shared" si="8"/>
        <v>0.11917067557355744</v>
      </c>
    </row>
    <row r="16" spans="1:11" x14ac:dyDescent="0.25">
      <c r="A16">
        <v>9</v>
      </c>
      <c r="B16">
        <f t="shared" si="0"/>
        <v>0.15707963267948966</v>
      </c>
      <c r="C16" s="109">
        <f t="shared" si="1"/>
        <v>116.85709878144725</v>
      </c>
      <c r="D16" s="109">
        <f t="shared" si="2"/>
        <v>1.1557948171781851</v>
      </c>
      <c r="E16" s="109">
        <f t="shared" si="3"/>
        <v>5.2312300523939124</v>
      </c>
      <c r="F16" s="109">
        <f t="shared" si="4"/>
        <v>0.1184369221712686</v>
      </c>
      <c r="G16">
        <f t="shared" si="5"/>
        <v>116.85709878144725</v>
      </c>
      <c r="H16">
        <f t="shared" si="6"/>
        <v>1.1557948171781851</v>
      </c>
      <c r="I16" s="109">
        <f t="shared" si="7"/>
        <v>5.2312300523939124</v>
      </c>
      <c r="J16" s="109">
        <f t="shared" si="8"/>
        <v>0.1184369221712686</v>
      </c>
    </row>
    <row r="17" spans="1:10" x14ac:dyDescent="0.25">
      <c r="A17">
        <v>10</v>
      </c>
      <c r="B17">
        <f t="shared" si="0"/>
        <v>0.17453292519943295</v>
      </c>
      <c r="C17" s="109">
        <f t="shared" si="1"/>
        <v>115.81870735483355</v>
      </c>
      <c r="D17" s="109">
        <f t="shared" si="2"/>
        <v>1.1478034236307872</v>
      </c>
      <c r="E17" s="109">
        <f t="shared" si="3"/>
        <v>5.1847453758642548</v>
      </c>
      <c r="F17" s="109">
        <f t="shared" si="4"/>
        <v>0.11761802590910683</v>
      </c>
      <c r="G17">
        <f t="shared" si="5"/>
        <v>115.81870735483355</v>
      </c>
      <c r="H17">
        <f t="shared" si="6"/>
        <v>1.1478034236307872</v>
      </c>
      <c r="I17" s="109">
        <f t="shared" si="7"/>
        <v>5.1847453758642548</v>
      </c>
      <c r="J17" s="109">
        <f t="shared" si="8"/>
        <v>0.11761802590910683</v>
      </c>
    </row>
    <row r="18" spans="1:10" x14ac:dyDescent="0.25">
      <c r="A18">
        <v>11</v>
      </c>
      <c r="B18">
        <f t="shared" si="0"/>
        <v>0.19198621771937624</v>
      </c>
      <c r="C18" s="109">
        <f t="shared" si="1"/>
        <v>114.67375177593823</v>
      </c>
      <c r="D18" s="109">
        <f t="shared" si="2"/>
        <v>1.1389849740090812</v>
      </c>
      <c r="E18" s="109">
        <f t="shared" si="3"/>
        <v>5.1334902437804502</v>
      </c>
      <c r="F18" s="109">
        <f t="shared" si="4"/>
        <v>0.11671437933101682</v>
      </c>
      <c r="G18">
        <f t="shared" si="5"/>
        <v>114.67375177593823</v>
      </c>
      <c r="H18">
        <f t="shared" si="6"/>
        <v>1.1389849740090812</v>
      </c>
      <c r="I18" s="109">
        <f t="shared" si="7"/>
        <v>5.1334902437804502</v>
      </c>
      <c r="J18" s="109">
        <f t="shared" si="8"/>
        <v>0.11671437933101682</v>
      </c>
    </row>
    <row r="19" spans="1:10" x14ac:dyDescent="0.25">
      <c r="A19">
        <v>12</v>
      </c>
      <c r="B19">
        <f t="shared" si="0"/>
        <v>0.20943951023931953</v>
      </c>
      <c r="C19" s="109">
        <f t="shared" si="1"/>
        <v>113.42305078207393</v>
      </c>
      <c r="D19" s="109">
        <f t="shared" si="2"/>
        <v>1.1293436964036021</v>
      </c>
      <c r="E19" s="109">
        <f t="shared" si="3"/>
        <v>5.0775013077732476</v>
      </c>
      <c r="F19" s="109">
        <f t="shared" si="4"/>
        <v>0.11572641569904658</v>
      </c>
      <c r="G19">
        <f t="shared" si="5"/>
        <v>113.42305078207393</v>
      </c>
      <c r="H19">
        <f t="shared" si="6"/>
        <v>1.1293436964036021</v>
      </c>
      <c r="I19" s="109">
        <f t="shared" si="7"/>
        <v>5.0775013077732476</v>
      </c>
      <c r="J19" s="109">
        <f t="shared" si="8"/>
        <v>0.11572641569904658</v>
      </c>
    </row>
    <row r="20" spans="1:10" x14ac:dyDescent="0.25">
      <c r="A20">
        <v>13</v>
      </c>
      <c r="B20">
        <f t="shared" si="0"/>
        <v>0.22689280275926285</v>
      </c>
      <c r="C20" s="109">
        <f t="shared" si="1"/>
        <v>112.06749950492274</v>
      </c>
      <c r="D20" s="109">
        <f t="shared" si="2"/>
        <v>1.1188842145045654</v>
      </c>
      <c r="E20" s="109">
        <f t="shared" si="3"/>
        <v>5.0168186393471164</v>
      </c>
      <c r="F20" s="109">
        <f t="shared" si="4"/>
        <v>0.11465460881324273</v>
      </c>
      <c r="G20">
        <f t="shared" si="5"/>
        <v>112.06749950492274</v>
      </c>
      <c r="H20">
        <f t="shared" si="6"/>
        <v>1.1188842145045654</v>
      </c>
      <c r="I20" s="109">
        <f t="shared" si="7"/>
        <v>5.0168186393471164</v>
      </c>
      <c r="J20" s="109">
        <f t="shared" si="8"/>
        <v>0.11465460881324273</v>
      </c>
    </row>
    <row r="21" spans="1:10" x14ac:dyDescent="0.25">
      <c r="A21">
        <v>14</v>
      </c>
      <c r="B21">
        <f t="shared" si="0"/>
        <v>0.24434609527920614</v>
      </c>
      <c r="C21" s="109">
        <f t="shared" si="1"/>
        <v>110.60806904125343</v>
      </c>
      <c r="D21" s="109">
        <f t="shared" si="2"/>
        <v>1.1076115456796114</v>
      </c>
      <c r="E21" s="109">
        <f t="shared" si="3"/>
        <v>4.9514857106629568</v>
      </c>
      <c r="F21" s="109">
        <f t="shared" si="4"/>
        <v>0.11349947281467238</v>
      </c>
      <c r="G21">
        <f t="shared" si="5"/>
        <v>110.60806904125343</v>
      </c>
      <c r="H21">
        <f t="shared" si="6"/>
        <v>1.1076115456796114</v>
      </c>
      <c r="I21" s="109">
        <f t="shared" si="7"/>
        <v>4.9514857106629568</v>
      </c>
      <c r="J21" s="109">
        <f t="shared" si="8"/>
        <v>0.11349947281467238</v>
      </c>
    </row>
    <row r="22" spans="1:10" x14ac:dyDescent="0.25">
      <c r="A22">
        <v>15</v>
      </c>
      <c r="B22">
        <f t="shared" si="0"/>
        <v>0.26179938779914941</v>
      </c>
      <c r="C22" s="109">
        <f t="shared" si="1"/>
        <v>109.04580598708816</v>
      </c>
      <c r="D22" s="109">
        <f t="shared" si="2"/>
        <v>1.0955310988876328</v>
      </c>
      <c r="E22" s="109">
        <f t="shared" si="3"/>
        <v>4.8815493736845861</v>
      </c>
      <c r="F22" s="109">
        <f t="shared" si="4"/>
        <v>0.11226156197164845</v>
      </c>
      <c r="G22">
        <f t="shared" si="5"/>
        <v>109.04580598708816</v>
      </c>
      <c r="H22">
        <f t="shared" si="6"/>
        <v>1.0955310988876328</v>
      </c>
      <c r="I22" s="109">
        <f t="shared" si="7"/>
        <v>4.8815493736845861</v>
      </c>
      <c r="J22" s="109">
        <f t="shared" si="8"/>
        <v>0.11226156197164845</v>
      </c>
    </row>
    <row r="23" spans="1:10" x14ac:dyDescent="0.25">
      <c r="A23">
        <v>16</v>
      </c>
      <c r="B23">
        <f t="shared" si="0"/>
        <v>0.27925268031909273</v>
      </c>
      <c r="C23" s="109">
        <f t="shared" si="1"/>
        <v>107.38183193551215</v>
      </c>
      <c r="D23" s="109">
        <f t="shared" si="2"/>
        <v>1.0826486724294884</v>
      </c>
      <c r="E23" s="109">
        <f t="shared" si="3"/>
        <v>4.8070598376976621</v>
      </c>
      <c r="F23" s="109">
        <f t="shared" si="4"/>
        <v>0.11094147044924017</v>
      </c>
      <c r="G23">
        <f t="shared" si="5"/>
        <v>107.38183193551215</v>
      </c>
      <c r="H23">
        <f t="shared" si="6"/>
        <v>1.0826486724294884</v>
      </c>
      <c r="I23" s="109">
        <f t="shared" si="7"/>
        <v>4.8070598376976621</v>
      </c>
      <c r="J23" s="109">
        <f t="shared" si="8"/>
        <v>0.11094147044924017</v>
      </c>
    </row>
    <row r="24" spans="1:10" x14ac:dyDescent="0.25">
      <c r="A24">
        <v>17</v>
      </c>
      <c r="B24">
        <f t="shared" si="0"/>
        <v>0.29670597283903605</v>
      </c>
      <c r="C24" s="109">
        <f t="shared" si="1"/>
        <v>105.61734293833526</v>
      </c>
      <c r="D24" s="109">
        <f t="shared" si="2"/>
        <v>1.0689704515364771</v>
      </c>
      <c r="E24" s="109">
        <f t="shared" si="3"/>
        <v>4.7280706452104058</v>
      </c>
      <c r="F24" s="109">
        <f t="shared" si="4"/>
        <v>0.1095398320621585</v>
      </c>
      <c r="G24">
        <f t="shared" si="5"/>
        <v>105.61734293833526</v>
      </c>
      <c r="H24">
        <f t="shared" si="6"/>
        <v>1.0689704515364771</v>
      </c>
      <c r="I24" s="109">
        <f t="shared" si="7"/>
        <v>4.7280706452104058</v>
      </c>
      <c r="J24" s="109">
        <f t="shared" si="8"/>
        <v>0.1095398320621585</v>
      </c>
    </row>
    <row r="25" spans="1:10" x14ac:dyDescent="0.25">
      <c r="A25">
        <v>18</v>
      </c>
      <c r="B25">
        <f t="shared" si="0"/>
        <v>0.31415926535897931</v>
      </c>
      <c r="C25" s="109">
        <f t="shared" si="1"/>
        <v>103.75360893182926</v>
      </c>
      <c r="D25" s="109">
        <f t="shared" si="2"/>
        <v>1.0545030057974958</v>
      </c>
      <c r="E25" s="109">
        <f t="shared" si="3"/>
        <v>4.6446386462461238</v>
      </c>
      <c r="F25" s="109">
        <f t="shared" si="4"/>
        <v>0.10805732001111108</v>
      </c>
      <c r="G25">
        <f t="shared" si="5"/>
        <v>103.75360893182926</v>
      </c>
      <c r="H25">
        <f t="shared" si="6"/>
        <v>1.0545030057974958</v>
      </c>
      <c r="I25" s="109">
        <f t="shared" si="7"/>
        <v>4.6446386462461238</v>
      </c>
      <c r="J25" s="109">
        <f t="shared" si="8"/>
        <v>0.10805732001111108</v>
      </c>
    </row>
    <row r="26" spans="1:10" x14ac:dyDescent="0.25">
      <c r="A26">
        <v>19</v>
      </c>
      <c r="B26">
        <f t="shared" si="0"/>
        <v>0.33161255787892258</v>
      </c>
      <c r="C26" s="109">
        <f t="shared" si="1"/>
        <v>101.79197312677987</v>
      </c>
      <c r="D26" s="109">
        <f t="shared" si="2"/>
        <v>1.0392532864258819</v>
      </c>
      <c r="E26" s="109">
        <f t="shared" si="3"/>
        <v>4.5568239710382574</v>
      </c>
      <c r="F26" s="109">
        <f t="shared" si="4"/>
        <v>0.10649464660272959</v>
      </c>
      <c r="G26">
        <f t="shared" si="5"/>
        <v>101.79197312677987</v>
      </c>
      <c r="H26">
        <f t="shared" si="6"/>
        <v>1.0392532864258819</v>
      </c>
      <c r="I26" s="109">
        <f t="shared" si="7"/>
        <v>4.5568239710382574</v>
      </c>
      <c r="J26" s="109">
        <f t="shared" si="8"/>
        <v>0.10649464660272959</v>
      </c>
    </row>
    <row r="27" spans="1:10" x14ac:dyDescent="0.25">
      <c r="A27">
        <v>20</v>
      </c>
      <c r="B27">
        <f t="shared" si="0"/>
        <v>0.3490658503988659</v>
      </c>
      <c r="C27" s="109">
        <f t="shared" si="1"/>
        <v>99.733851363107107</v>
      </c>
      <c r="D27" s="109">
        <f t="shared" si="2"/>
        <v>1.0232286233669896</v>
      </c>
      <c r="E27" s="109">
        <f t="shared" si="3"/>
        <v>4.4646900011392869</v>
      </c>
      <c r="F27" s="109">
        <f t="shared" si="4"/>
        <v>0.10485256295317621</v>
      </c>
      <c r="G27">
        <f t="shared" si="5"/>
        <v>99.733851363107107</v>
      </c>
      <c r="H27">
        <f t="shared" si="6"/>
        <v>1.0232286233669896</v>
      </c>
      <c r="I27" s="109">
        <f t="shared" si="7"/>
        <v>4.4646900011392869</v>
      </c>
      <c r="J27" s="109">
        <f t="shared" si="8"/>
        <v>0.10485256295317621</v>
      </c>
    </row>
    <row r="28" spans="1:10" x14ac:dyDescent="0.25">
      <c r="A28">
        <v>21</v>
      </c>
      <c r="B28">
        <f t="shared" si="0"/>
        <v>0.36651914291880922</v>
      </c>
      <c r="C28" s="109">
        <f t="shared" si="1"/>
        <v>97.580731429322555</v>
      </c>
      <c r="D28" s="109">
        <f t="shared" si="2"/>
        <v>1.0064367222476243</v>
      </c>
      <c r="E28" s="109">
        <f t="shared" si="3"/>
        <v>4.3683033389555224</v>
      </c>
      <c r="F28" s="109">
        <f t="shared" si="4"/>
        <v>0.1031318586755455</v>
      </c>
      <c r="G28">
        <f t="shared" si="5"/>
        <v>97.580731429322555</v>
      </c>
      <c r="H28">
        <f t="shared" si="6"/>
        <v>1.0064367222476243</v>
      </c>
      <c r="I28" s="109">
        <f t="shared" si="7"/>
        <v>4.3683033389555224</v>
      </c>
      <c r="J28" s="109">
        <f t="shared" si="8"/>
        <v>0.1031318586755455</v>
      </c>
    </row>
    <row r="29" spans="1:10" x14ac:dyDescent="0.25">
      <c r="A29">
        <v>22</v>
      </c>
      <c r="B29">
        <f t="shared" si="0"/>
        <v>0.38397243543875248</v>
      </c>
      <c r="C29" s="109">
        <f t="shared" si="1"/>
        <v>95.3341723471069</v>
      </c>
      <c r="D29" s="109">
        <f t="shared" si="2"/>
        <v>0.98888566116850374</v>
      </c>
      <c r="E29" s="109">
        <f t="shared" si="3"/>
        <v>4.2677337757204743</v>
      </c>
      <c r="F29" s="109">
        <f t="shared" si="4"/>
        <v>0.10133336155118046</v>
      </c>
      <c r="G29">
        <f t="shared" si="5"/>
        <v>95.3341723471069</v>
      </c>
      <c r="H29">
        <f t="shared" si="6"/>
        <v>0.98888566116850374</v>
      </c>
      <c r="I29" s="109">
        <f t="shared" si="7"/>
        <v>4.2677337757204743</v>
      </c>
      <c r="J29" s="109">
        <f t="shared" si="8"/>
        <v>0.10133336155118046</v>
      </c>
    </row>
    <row r="30" spans="1:10" x14ac:dyDescent="0.25">
      <c r="A30">
        <v>23</v>
      </c>
      <c r="B30">
        <f t="shared" si="0"/>
        <v>0.40142572795869574</v>
      </c>
      <c r="C30" s="109">
        <f t="shared" si="1"/>
        <v>92.99580362130537</v>
      </c>
      <c r="D30" s="109">
        <f t="shared" si="2"/>
        <v>0.97058388734099721</v>
      </c>
      <c r="E30" s="109">
        <f t="shared" si="3"/>
        <v>4.1630542579201135</v>
      </c>
      <c r="F30" s="109">
        <f t="shared" si="4"/>
        <v>9.9457937185031584E-2</v>
      </c>
      <c r="G30">
        <f t="shared" si="5"/>
        <v>92.99580362130537</v>
      </c>
      <c r="H30">
        <f t="shared" si="6"/>
        <v>0.97058388734099721</v>
      </c>
      <c r="I30" s="109">
        <f t="shared" si="7"/>
        <v>4.1630542579201135</v>
      </c>
      <c r="J30" s="109">
        <f t="shared" si="8"/>
        <v>9.9457937185031584E-2</v>
      </c>
    </row>
    <row r="31" spans="1:10" x14ac:dyDescent="0.25">
      <c r="A31">
        <v>24</v>
      </c>
      <c r="B31">
        <f t="shared" si="0"/>
        <v>0.41887902047863906</v>
      </c>
      <c r="C31" s="109">
        <f t="shared" si="1"/>
        <v>90.567324455653434</v>
      </c>
      <c r="D31" s="109">
        <f t="shared" si="2"/>
        <v>0.95154021356942819</v>
      </c>
      <c r="E31" s="109">
        <f t="shared" si="3"/>
        <v>4.0543408521840139</v>
      </c>
      <c r="F31" s="109">
        <f t="shared" si="4"/>
        <v>9.7506488645190431E-2</v>
      </c>
      <c r="G31">
        <f t="shared" si="5"/>
        <v>90.567324455653434</v>
      </c>
      <c r="H31">
        <f t="shared" si="6"/>
        <v>0.95154021356942819</v>
      </c>
      <c r="I31" s="109">
        <f t="shared" si="7"/>
        <v>4.0543408521840139</v>
      </c>
      <c r="J31" s="109">
        <f t="shared" si="8"/>
        <v>9.7506488645190431E-2</v>
      </c>
    </row>
    <row r="32" spans="1:10" x14ac:dyDescent="0.25">
      <c r="A32">
        <v>25</v>
      </c>
      <c r="B32">
        <f t="shared" si="0"/>
        <v>0.43633231299858238</v>
      </c>
      <c r="C32" s="109">
        <f t="shared" si="1"/>
        <v>88.050502934559304</v>
      </c>
      <c r="D32" s="109">
        <f t="shared" si="2"/>
        <v>0.93176381458031488</v>
      </c>
      <c r="E32" s="109">
        <f t="shared" si="3"/>
        <v>3.9416727086569932</v>
      </c>
      <c r="F32" s="109">
        <f t="shared" si="4"/>
        <v>9.547995608673851E-2</v>
      </c>
      <c r="G32">
        <f t="shared" si="5"/>
        <v>88.050502934559304</v>
      </c>
      <c r="H32">
        <f t="shared" si="6"/>
        <v>0.93176381458031488</v>
      </c>
      <c r="I32" s="109">
        <f t="shared" si="7"/>
        <v>3.9416727086569932</v>
      </c>
      <c r="J32" s="109">
        <f t="shared" si="8"/>
        <v>9.547995608673851E-2</v>
      </c>
    </row>
    <row r="33" spans="1:10" x14ac:dyDescent="0.25">
      <c r="A33">
        <v>26</v>
      </c>
      <c r="B33">
        <f t="shared" si="0"/>
        <v>0.4537856055185257</v>
      </c>
      <c r="C33" s="109">
        <f t="shared" si="1"/>
        <v>85.44717517128413</v>
      </c>
      <c r="D33" s="109">
        <f t="shared" si="2"/>
        <v>0.91126422319995293</v>
      </c>
      <c r="E33" s="109">
        <f t="shared" si="3"/>
        <v>3.8251320228665069</v>
      </c>
      <c r="F33" s="109">
        <f t="shared" si="4"/>
        <v>9.3379316360055573E-2</v>
      </c>
      <c r="G33">
        <f t="shared" si="5"/>
        <v>85.44717517128413</v>
      </c>
      <c r="H33">
        <f t="shared" si="6"/>
        <v>0.91126422319995293</v>
      </c>
      <c r="I33" s="109">
        <f t="shared" si="7"/>
        <v>3.8251320228665069</v>
      </c>
      <c r="J33" s="109">
        <f t="shared" si="8"/>
        <v>9.3379316360055573E-2</v>
      </c>
    </row>
    <row r="34" spans="1:10" x14ac:dyDescent="0.25">
      <c r="A34">
        <v>27</v>
      </c>
      <c r="B34">
        <f t="shared" si="0"/>
        <v>0.47123889803846897</v>
      </c>
      <c r="C34" s="109">
        <f t="shared" si="1"/>
        <v>82.759244422874687</v>
      </c>
      <c r="D34" s="109">
        <f t="shared" si="2"/>
        <v>0.89005132638182771</v>
      </c>
      <c r="E34" s="109">
        <f t="shared" si="3"/>
        <v>3.704803996101687</v>
      </c>
      <c r="F34" s="109">
        <f t="shared" si="4"/>
        <v>9.1205582603739455E-2</v>
      </c>
      <c r="G34">
        <f t="shared" si="5"/>
        <v>82.759244422874687</v>
      </c>
      <c r="H34">
        <f t="shared" si="6"/>
        <v>0.89005132638182771</v>
      </c>
      <c r="I34" s="109">
        <f t="shared" si="7"/>
        <v>3.704803996101687</v>
      </c>
      <c r="J34" s="109">
        <f t="shared" si="8"/>
        <v>9.1205582603739455E-2</v>
      </c>
    </row>
    <row r="35" spans="1:10" x14ac:dyDescent="0.25">
      <c r="A35">
        <v>28</v>
      </c>
      <c r="B35">
        <f t="shared" si="0"/>
        <v>0.48869219055841229</v>
      </c>
      <c r="C35" s="109">
        <f t="shared" si="1"/>
        <v>79.988680172217457</v>
      </c>
      <c r="D35" s="109">
        <f t="shared" si="2"/>
        <v>0.86813536108538769</v>
      </c>
      <c r="E35" s="109">
        <f t="shared" si="3"/>
        <v>3.5807767943205371</v>
      </c>
      <c r="F35" s="109">
        <f t="shared" si="4"/>
        <v>8.8959803822294611E-2</v>
      </c>
      <c r="G35">
        <f t="shared" si="5"/>
        <v>79.988680172217457</v>
      </c>
      <c r="H35">
        <f t="shared" si="6"/>
        <v>0.86813536108538769</v>
      </c>
      <c r="I35" s="109">
        <f t="shared" si="7"/>
        <v>3.5807767943205371</v>
      </c>
      <c r="J35" s="109">
        <f t="shared" si="8"/>
        <v>8.8959803822294611E-2</v>
      </c>
    </row>
    <row r="36" spans="1:10" x14ac:dyDescent="0.25">
      <c r="A36">
        <v>29</v>
      </c>
      <c r="B36">
        <f t="shared" si="0"/>
        <v>0.50614548307835561</v>
      </c>
      <c r="C36" s="109">
        <f t="shared" si="1"/>
        <v>77.13751717759672</v>
      </c>
      <c r="D36" s="109">
        <f t="shared" si="2"/>
        <v>0.84552691000777291</v>
      </c>
      <c r="E36" s="109">
        <f t="shared" si="3"/>
        <v>3.453141505602404</v>
      </c>
      <c r="F36" s="109">
        <f t="shared" si="4"/>
        <v>8.664306444875268E-2</v>
      </c>
      <c r="G36">
        <f t="shared" si="5"/>
        <v>77.13751717759672</v>
      </c>
      <c r="H36">
        <f t="shared" si="6"/>
        <v>0.84552691000777291</v>
      </c>
      <c r="I36" s="109">
        <f t="shared" si="7"/>
        <v>3.453141505602404</v>
      </c>
      <c r="J36" s="109">
        <f t="shared" si="8"/>
        <v>8.664306444875268E-2</v>
      </c>
    </row>
    <row r="37" spans="1:10" x14ac:dyDescent="0.25">
      <c r="A37">
        <v>30</v>
      </c>
      <c r="B37">
        <f t="shared" si="0"/>
        <v>0.52359877559829882</v>
      </c>
      <c r="C37" s="109">
        <f t="shared" si="1"/>
        <v>74.207854490152783</v>
      </c>
      <c r="D37" s="109">
        <f t="shared" si="2"/>
        <v>0.82223689717014881</v>
      </c>
      <c r="E37" s="109">
        <f t="shared" si="3"/>
        <v>3.3219920961634712</v>
      </c>
      <c r="F37" s="109">
        <f t="shared" si="4"/>
        <v>8.4256483892394055E-2</v>
      </c>
      <c r="G37">
        <f t="shared" si="5"/>
        <v>74.207854490152783</v>
      </c>
      <c r="H37">
        <f t="shared" si="6"/>
        <v>0.82223689717014881</v>
      </c>
      <c r="I37" s="109">
        <f t="shared" si="7"/>
        <v>3.3219920961634712</v>
      </c>
      <c r="J37" s="109">
        <f t="shared" si="8"/>
        <v>8.4256483892394055E-2</v>
      </c>
    </row>
    <row r="38" spans="1:10" x14ac:dyDescent="0.25">
      <c r="A38">
        <v>31</v>
      </c>
      <c r="B38">
        <f t="shared" si="0"/>
        <v>0.54105206811824214</v>
      </c>
      <c r="C38" s="109">
        <f t="shared" si="1"/>
        <v>71.201854439650504</v>
      </c>
      <c r="D38" s="109">
        <f t="shared" si="2"/>
        <v>0.79827658336035134</v>
      </c>
      <c r="E38" s="109">
        <f t="shared" si="3"/>
        <v>3.1874253649536279</v>
      </c>
      <c r="F38" s="109">
        <f t="shared" si="4"/>
        <v>8.1801216071745342E-2</v>
      </c>
      <c r="G38">
        <f t="shared" si="5"/>
        <v>71.201854439650504</v>
      </c>
      <c r="H38">
        <f t="shared" si="6"/>
        <v>0.79827658336035134</v>
      </c>
      <c r="I38" s="109">
        <f t="shared" si="7"/>
        <v>3.1874253649536279</v>
      </c>
      <c r="J38" s="109">
        <f t="shared" si="8"/>
        <v>8.1801216071745342E-2</v>
      </c>
    </row>
    <row r="39" spans="1:10" x14ac:dyDescent="0.25">
      <c r="A39">
        <v>32</v>
      </c>
      <c r="B39">
        <f t="shared" ref="B39:B70" si="9">A39*PI()/180</f>
        <v>0.55850536063818546</v>
      </c>
      <c r="C39" s="109">
        <f t="shared" ref="C39:C70" si="10">(0.0796*FA_SUS*D*0.5)-(0.238*FA_SUS*D*0.5*(1-COS(B39)))+(FA_SUS*0.5*D/PI())*(1-COS(B39)-B39*SIN(B39)*0.5)</f>
        <v>68.121741588980896</v>
      </c>
      <c r="D39" s="109">
        <f t="shared" ref="D39:D70" si="11">0.238*FA_SUS*COS(B39)-(FA_SUS/(2*PI()))*B39*SIN(B39)</f>
        <v>0.77365756143361142</v>
      </c>
      <c r="E39" s="109">
        <f t="shared" ref="E39:E70" si="12">0.000001*C39/Z_BareRoark</f>
        <v>3.0495408968536402</v>
      </c>
      <c r="F39" s="109">
        <f t="shared" ref="F39:F70" si="13">D39*1000/(beff_Bare_Roark*Tnet_Bare_Roark)</f>
        <v>7.9278448933033957E-2</v>
      </c>
      <c r="G39">
        <f t="shared" ref="G39:G70" si="14">(0.0796*FA_EXP*D*0.5)-(0.238*FA_EXP*D*0.5*(1-COS(B39)))+(FA_EXP*0.5*D/PI())*(1-COS(B39)-B39*SIN(B39)*0.5)</f>
        <v>68.121741588980896</v>
      </c>
      <c r="H39">
        <f t="shared" ref="H39:H70" si="15">0.238*FA_EXP*COS(B39)-(FA_EXP/(2*PI()))*B39*SIN(B39)</f>
        <v>0.77365756143361142</v>
      </c>
      <c r="I39" s="109">
        <f t="shared" ref="I39:I70" si="16">0.000001*G39/Z_BareRoark</f>
        <v>3.0495408968536402</v>
      </c>
      <c r="J39" s="109">
        <f t="shared" ref="J39:J70" si="17">H39*1000/(beff_Bare_Roark*Tnet_Bare_Roark)</f>
        <v>7.9278448933033957E-2</v>
      </c>
    </row>
    <row r="40" spans="1:10" x14ac:dyDescent="0.25">
      <c r="A40">
        <v>33</v>
      </c>
      <c r="B40">
        <f t="shared" si="9"/>
        <v>0.57595865315812877</v>
      </c>
      <c r="C40" s="109">
        <f t="shared" si="10"/>
        <v>64.969801657832178</v>
      </c>
      <c r="D40" s="109">
        <f t="shared" si="11"/>
        <v>0.74839175147316717</v>
      </c>
      <c r="E40" s="109">
        <f t="shared" si="12"/>
        <v>2.9084410144921646</v>
      </c>
      <c r="F40" s="109">
        <f t="shared" si="13"/>
        <v>7.6689403954285043E-2</v>
      </c>
      <c r="G40">
        <f t="shared" si="14"/>
        <v>64.969801657832178</v>
      </c>
      <c r="H40">
        <f t="shared" si="15"/>
        <v>0.74839175147316717</v>
      </c>
      <c r="I40" s="109">
        <f t="shared" si="16"/>
        <v>2.9084410144921646</v>
      </c>
      <c r="J40" s="109">
        <f t="shared" si="17"/>
        <v>7.6689403954285043E-2</v>
      </c>
    </row>
    <row r="41" spans="1:10" x14ac:dyDescent="0.25">
      <c r="A41">
        <v>34</v>
      </c>
      <c r="B41">
        <f t="shared" si="9"/>
        <v>0.59341194567807209</v>
      </c>
      <c r="C41" s="109">
        <f t="shared" si="10"/>
        <v>61.748380415979703</v>
      </c>
      <c r="D41" s="109">
        <f t="shared" si="11"/>
        <v>0.72249139581264665</v>
      </c>
      <c r="E41" s="109">
        <f t="shared" si="12"/>
        <v>2.7642307287027119</v>
      </c>
      <c r="F41" s="109">
        <f t="shared" si="13"/>
        <v>7.4035335635253705E-2</v>
      </c>
      <c r="G41">
        <f t="shared" si="14"/>
        <v>61.748380415979703</v>
      </c>
      <c r="H41">
        <f t="shared" si="15"/>
        <v>0.72249139581264665</v>
      </c>
      <c r="I41" s="109">
        <f t="shared" si="16"/>
        <v>2.7642307287027119</v>
      </c>
      <c r="J41" s="109">
        <f t="shared" si="17"/>
        <v>7.4035335635253705E-2</v>
      </c>
    </row>
    <row r="42" spans="1:10" x14ac:dyDescent="0.25">
      <c r="A42">
        <v>35</v>
      </c>
      <c r="B42">
        <f t="shared" si="9"/>
        <v>0.6108652381980153</v>
      </c>
      <c r="C42" s="109">
        <f t="shared" si="10"/>
        <v>58.459882546656793</v>
      </c>
      <c r="D42" s="109">
        <f t="shared" si="11"/>
        <v>0.6959690539221417</v>
      </c>
      <c r="E42" s="109">
        <f t="shared" si="12"/>
        <v>2.6170176876412601</v>
      </c>
      <c r="F42" s="109">
        <f t="shared" si="13"/>
        <v>7.1317530973389373E-2</v>
      </c>
      <c r="G42">
        <f t="shared" si="14"/>
        <v>58.459882546656793</v>
      </c>
      <c r="H42">
        <f t="shared" si="15"/>
        <v>0.6959690539221417</v>
      </c>
      <c r="I42" s="109">
        <f t="shared" si="16"/>
        <v>2.6170176876412601</v>
      </c>
      <c r="J42" s="109">
        <f t="shared" si="17"/>
        <v>7.1317530973389373E-2</v>
      </c>
    </row>
    <row r="43" spans="1:10" x14ac:dyDescent="0.25">
      <c r="A43">
        <v>36</v>
      </c>
      <c r="B43">
        <f t="shared" si="9"/>
        <v>0.62831853071795862</v>
      </c>
      <c r="C43" s="109">
        <f t="shared" si="10"/>
        <v>55.106770480481316</v>
      </c>
      <c r="D43" s="109">
        <f t="shared" si="11"/>
        <v>0.66883759715995084</v>
      </c>
      <c r="E43" s="109">
        <f t="shared" si="12"/>
        <v>2.4669121245857557</v>
      </c>
      <c r="F43" s="109">
        <f t="shared" si="13"/>
        <v>6.8537308926034976E-2</v>
      </c>
      <c r="G43">
        <f t="shared" si="14"/>
        <v>55.106770480481316</v>
      </c>
      <c r="H43">
        <f t="shared" si="15"/>
        <v>0.66883759715995084</v>
      </c>
      <c r="I43" s="109">
        <f t="shared" si="16"/>
        <v>2.4669121245857557</v>
      </c>
      <c r="J43" s="109">
        <f t="shared" si="17"/>
        <v>6.8537308926034976E-2</v>
      </c>
    </row>
    <row r="44" spans="1:10" x14ac:dyDescent="0.25">
      <c r="A44">
        <v>37</v>
      </c>
      <c r="B44">
        <f t="shared" si="9"/>
        <v>0.64577182323790194</v>
      </c>
      <c r="C44" s="109">
        <f t="shared" si="10"/>
        <v>51.691563200425406</v>
      </c>
      <c r="D44" s="109">
        <f t="shared" si="11"/>
        <v>0.6411102033920314</v>
      </c>
      <c r="E44" s="109">
        <f t="shared" si="12"/>
        <v>2.3140268044393397</v>
      </c>
      <c r="F44" s="109">
        <f t="shared" si="13"/>
        <v>6.5696019859069976E-2</v>
      </c>
      <c r="G44">
        <f t="shared" si="14"/>
        <v>51.691563200425406</v>
      </c>
      <c r="H44">
        <f t="shared" si="15"/>
        <v>0.6411102033920314</v>
      </c>
      <c r="I44" s="109">
        <f t="shared" si="16"/>
        <v>2.3140268044393397</v>
      </c>
      <c r="J44" s="109">
        <f t="shared" si="17"/>
        <v>6.5696019859069976E-2</v>
      </c>
    </row>
    <row r="45" spans="1:10" x14ac:dyDescent="0.25">
      <c r="A45">
        <v>38</v>
      </c>
      <c r="B45">
        <f t="shared" si="9"/>
        <v>0.66322511575784515</v>
      </c>
      <c r="C45" s="109">
        <f t="shared" si="10"/>
        <v>48.216835018327487</v>
      </c>
      <c r="D45" s="109">
        <f t="shared" si="11"/>
        <v>0.61280035148123513</v>
      </c>
      <c r="E45" s="109">
        <f t="shared" si="12"/>
        <v>2.1584769689596266</v>
      </c>
      <c r="F45" s="109">
        <f t="shared" si="13"/>
        <v>6.2795044982209794E-2</v>
      </c>
      <c r="G45">
        <f t="shared" si="14"/>
        <v>48.216835018327487</v>
      </c>
      <c r="H45">
        <f t="shared" si="15"/>
        <v>0.61280035148123513</v>
      </c>
      <c r="I45" s="109">
        <f t="shared" si="16"/>
        <v>2.1584769689596266</v>
      </c>
      <c r="J45" s="109">
        <f t="shared" si="17"/>
        <v>6.2795044982209794E-2</v>
      </c>
    </row>
    <row r="46" spans="1:10" x14ac:dyDescent="0.25">
      <c r="A46">
        <v>39</v>
      </c>
      <c r="B46">
        <f t="shared" si="9"/>
        <v>0.68067840827778847</v>
      </c>
      <c r="C46" s="109">
        <f t="shared" si="10"/>
        <v>44.685214323458752</v>
      </c>
      <c r="D46" s="109">
        <f t="shared" si="11"/>
        <v>0.58392181564846679</v>
      </c>
      <c r="E46" s="109">
        <f t="shared" si="12"/>
        <v>2.0003802807369788</v>
      </c>
      <c r="F46" s="109">
        <f t="shared" si="13"/>
        <v>5.983579577118095E-2</v>
      </c>
      <c r="G46">
        <f t="shared" si="14"/>
        <v>44.685214323458752</v>
      </c>
      <c r="H46">
        <f t="shared" si="15"/>
        <v>0.58392181564846679</v>
      </c>
      <c r="I46" s="109">
        <f t="shared" si="16"/>
        <v>2.0003802807369788</v>
      </c>
      <c r="J46" s="109">
        <f t="shared" si="17"/>
        <v>5.983579577118095E-2</v>
      </c>
    </row>
    <row r="47" spans="1:10" x14ac:dyDescent="0.25">
      <c r="A47">
        <v>40</v>
      </c>
      <c r="B47">
        <f t="shared" si="9"/>
        <v>0.69813170079773179</v>
      </c>
      <c r="C47" s="109">
        <f t="shared" si="10"/>
        <v>41.099382303667397</v>
      </c>
      <c r="D47" s="109">
        <f t="shared" si="11"/>
        <v>0.55448865970795091</v>
      </c>
      <c r="E47" s="109">
        <f t="shared" si="12"/>
        <v>1.8398567659451925</v>
      </c>
      <c r="F47" s="109">
        <f t="shared" si="13"/>
        <v>5.6819713376995686E-2</v>
      </c>
      <c r="G47">
        <f t="shared" si="14"/>
        <v>41.099382303667397</v>
      </c>
      <c r="H47">
        <f t="shared" si="15"/>
        <v>0.55448865970795091</v>
      </c>
      <c r="I47" s="109">
        <f t="shared" si="16"/>
        <v>1.8398567659451925</v>
      </c>
      <c r="J47" s="109">
        <f t="shared" si="17"/>
        <v>5.6819713376995686E-2</v>
      </c>
    </row>
    <row r="48" spans="1:10" x14ac:dyDescent="0.25">
      <c r="A48">
        <v>41</v>
      </c>
      <c r="B48">
        <f t="shared" si="9"/>
        <v>0.715584993317675</v>
      </c>
      <c r="C48" s="109">
        <f t="shared" si="10"/>
        <v>37.462071639635582</v>
      </c>
      <c r="D48" s="109">
        <f t="shared" si="11"/>
        <v>0.52451523117883769</v>
      </c>
      <c r="E48" s="109">
        <f t="shared" si="12"/>
        <v>1.6770287558885453</v>
      </c>
      <c r="F48" s="109">
        <f t="shared" si="13"/>
        <v>5.3748268022554911E-2</v>
      </c>
      <c r="G48">
        <f t="shared" si="14"/>
        <v>37.462071639635582</v>
      </c>
      <c r="H48">
        <f t="shared" si="15"/>
        <v>0.52451523117883769</v>
      </c>
      <c r="I48" s="109">
        <f t="shared" si="16"/>
        <v>1.6770287558885453</v>
      </c>
      <c r="J48" s="109">
        <f t="shared" si="17"/>
        <v>5.3748268022554911E-2</v>
      </c>
    </row>
    <row r="49" spans="1:10" x14ac:dyDescent="0.25">
      <c r="A49">
        <v>42</v>
      </c>
      <c r="B49">
        <f t="shared" si="9"/>
        <v>0.73303828583761843</v>
      </c>
      <c r="C49" s="109">
        <f t="shared" si="10"/>
        <v>33.776065172796336</v>
      </c>
      <c r="D49" s="109">
        <f t="shared" si="11"/>
        <v>0.49401615527543186</v>
      </c>
      <c r="E49" s="109">
        <f t="shared" si="12"/>
        <v>1.512020827369708</v>
      </c>
      <c r="F49" s="109">
        <f t="shared" si="13"/>
        <v>5.0622958386813223E-2</v>
      </c>
      <c r="G49">
        <f t="shared" si="14"/>
        <v>33.776065172796336</v>
      </c>
      <c r="H49">
        <f t="shared" si="15"/>
        <v>0.49401615527543186</v>
      </c>
      <c r="I49" s="109">
        <f t="shared" si="16"/>
        <v>1.512020827369708</v>
      </c>
      <c r="J49" s="109">
        <f t="shared" si="17"/>
        <v>5.0622958386813223E-2</v>
      </c>
    </row>
    <row r="50" spans="1:10" x14ac:dyDescent="0.25">
      <c r="A50">
        <v>43</v>
      </c>
      <c r="B50">
        <f t="shared" si="9"/>
        <v>0.75049157835756164</v>
      </c>
      <c r="C50" s="109">
        <f t="shared" si="10"/>
        <v>30.044194547468038</v>
      </c>
      <c r="D50" s="109">
        <f t="shared" si="11"/>
        <v>0.46300632877837639</v>
      </c>
      <c r="E50" s="109">
        <f t="shared" si="12"/>
        <v>1.3449597419034744</v>
      </c>
      <c r="F50" s="109">
        <f t="shared" si="13"/>
        <v>4.7445310976745196E-2</v>
      </c>
      <c r="G50">
        <f t="shared" si="14"/>
        <v>30.044194547468038</v>
      </c>
      <c r="H50">
        <f t="shared" si="15"/>
        <v>0.46300632877837639</v>
      </c>
      <c r="I50" s="109">
        <f t="shared" si="16"/>
        <v>1.3449597419034744</v>
      </c>
      <c r="J50" s="109">
        <f t="shared" si="17"/>
        <v>4.7445310976745196E-2</v>
      </c>
    </row>
    <row r="51" spans="1:10" x14ac:dyDescent="0.25">
      <c r="A51">
        <v>44</v>
      </c>
      <c r="B51">
        <f t="shared" si="9"/>
        <v>0.76794487087750496</v>
      </c>
      <c r="C51" s="109">
        <f t="shared" si="10"/>
        <v>26.26933882777541</v>
      </c>
      <c r="D51" s="109">
        <f t="shared" si="11"/>
        <v>0.43150091378916322</v>
      </c>
      <c r="E51" s="109">
        <f t="shared" si="12"/>
        <v>1.1759743838017871</v>
      </c>
      <c r="F51" s="109">
        <f t="shared" si="13"/>
        <v>4.4216879487355941E-2</v>
      </c>
      <c r="G51">
        <f t="shared" si="14"/>
        <v>26.26933882777541</v>
      </c>
      <c r="H51">
        <f t="shared" si="15"/>
        <v>0.43150091378916322</v>
      </c>
      <c r="I51" s="109">
        <f t="shared" si="16"/>
        <v>1.1759743838017871</v>
      </c>
      <c r="J51" s="109">
        <f t="shared" si="17"/>
        <v>4.4216879487355941E-2</v>
      </c>
    </row>
    <row r="52" spans="1:10" x14ac:dyDescent="0.25">
      <c r="A52">
        <v>45</v>
      </c>
      <c r="B52">
        <f t="shared" si="9"/>
        <v>0.78539816339744828</v>
      </c>
      <c r="C52" s="109">
        <f t="shared" si="10"/>
        <v>22.454423089937315</v>
      </c>
      <c r="D52" s="109">
        <f t="shared" si="11"/>
        <v>0.39951533137039946</v>
      </c>
      <c r="E52" s="109">
        <f t="shared" si="12"/>
        <v>1.0051956971560294</v>
      </c>
      <c r="F52" s="109">
        <f t="shared" si="13"/>
        <v>4.0939244149984635E-2</v>
      </c>
      <c r="G52">
        <f t="shared" si="14"/>
        <v>22.454423089937315</v>
      </c>
      <c r="H52">
        <f t="shared" si="15"/>
        <v>0.39951533137039946</v>
      </c>
      <c r="I52" s="109">
        <f t="shared" si="16"/>
        <v>1.0051956971560294</v>
      </c>
      <c r="J52" s="109">
        <f t="shared" si="17"/>
        <v>4.0939244149984635E-2</v>
      </c>
    </row>
    <row r="53" spans="1:10" x14ac:dyDescent="0.25">
      <c r="A53">
        <v>46</v>
      </c>
      <c r="B53">
        <f t="shared" si="9"/>
        <v>0.80285145591739149</v>
      </c>
      <c r="C53" s="109">
        <f t="shared" si="10"/>
        <v>18.602416990511351</v>
      </c>
      <c r="D53" s="109">
        <f t="shared" si="11"/>
        <v>0.36706525507429094</v>
      </c>
      <c r="E53" s="109">
        <f t="shared" si="12"/>
        <v>0.83275662174300047</v>
      </c>
      <c r="F53" s="109">
        <f t="shared" si="13"/>
        <v>3.7614011069153623E-2</v>
      </c>
      <c r="G53">
        <f t="shared" si="14"/>
        <v>18.602416990511351</v>
      </c>
      <c r="H53">
        <f t="shared" si="15"/>
        <v>0.36706525507429094</v>
      </c>
      <c r="I53" s="109">
        <f t="shared" si="16"/>
        <v>0.83275662174300047</v>
      </c>
      <c r="J53" s="109">
        <f t="shared" si="17"/>
        <v>3.7614011069153623E-2</v>
      </c>
    </row>
    <row r="54" spans="1:10" x14ac:dyDescent="0.25">
      <c r="A54">
        <v>47</v>
      </c>
      <c r="B54">
        <f t="shared" si="9"/>
        <v>0.82030474843733492</v>
      </c>
      <c r="C54" s="109">
        <f t="shared" si="10"/>
        <v>14.716333311196363</v>
      </c>
      <c r="D54" s="109">
        <f t="shared" si="11"/>
        <v>0.33416660436185908</v>
      </c>
      <c r="E54" s="109">
        <f t="shared" si="12"/>
        <v>0.65879202788147972</v>
      </c>
      <c r="F54" s="109">
        <f t="shared" si="13"/>
        <v>3.4242811548220536E-2</v>
      </c>
      <c r="G54">
        <f t="shared" si="14"/>
        <v>14.716333311196363</v>
      </c>
      <c r="H54">
        <f t="shared" si="15"/>
        <v>0.33416660436185908</v>
      </c>
      <c r="I54" s="109">
        <f t="shared" si="16"/>
        <v>0.65879202788147972</v>
      </c>
      <c r="J54" s="109">
        <f t="shared" si="17"/>
        <v>3.4242811548220536E-2</v>
      </c>
    </row>
    <row r="55" spans="1:10" x14ac:dyDescent="0.25">
      <c r="A55">
        <v>48</v>
      </c>
      <c r="B55">
        <f t="shared" si="9"/>
        <v>0.83775804095727813</v>
      </c>
      <c r="C55" s="109">
        <f t="shared" si="10"/>
        <v>10.799226480803901</v>
      </c>
      <c r="D55" s="109">
        <f t="shared" si="11"/>
        <v>0.30083553791544521</v>
      </c>
      <c r="E55" s="109">
        <f t="shared" si="12"/>
        <v>0.4834386502667361</v>
      </c>
      <c r="F55" s="109">
        <f t="shared" si="13"/>
        <v>3.0827301404095446E-2</v>
      </c>
      <c r="G55">
        <f t="shared" si="14"/>
        <v>10.799226480803901</v>
      </c>
      <c r="H55">
        <f t="shared" si="15"/>
        <v>0.30083553791544521</v>
      </c>
      <c r="I55" s="109">
        <f t="shared" si="16"/>
        <v>0.4834386502667361</v>
      </c>
      <c r="J55" s="109">
        <f t="shared" si="17"/>
        <v>3.0827301404095446E-2</v>
      </c>
    </row>
    <row r="56" spans="1:10" x14ac:dyDescent="0.25">
      <c r="A56">
        <v>49</v>
      </c>
      <c r="B56">
        <f t="shared" si="9"/>
        <v>0.85521133347722145</v>
      </c>
      <c r="C56" s="109">
        <f t="shared" si="10"/>
        <v>6.854191075019072</v>
      </c>
      <c r="D56" s="109">
        <f t="shared" si="11"/>
        <v>0.26708844684709487</v>
      </c>
      <c r="E56" s="109">
        <f t="shared" si="12"/>
        <v>0.30683502081075575</v>
      </c>
      <c r="F56" s="109">
        <f t="shared" si="13"/>
        <v>2.7369160271288537E-2</v>
      </c>
      <c r="G56">
        <f t="shared" si="14"/>
        <v>6.854191075019072</v>
      </c>
      <c r="H56">
        <f t="shared" si="15"/>
        <v>0.26708844684709487</v>
      </c>
      <c r="I56" s="109">
        <f t="shared" si="16"/>
        <v>0.30683502081075575</v>
      </c>
      <c r="J56" s="109">
        <f t="shared" si="17"/>
        <v>2.7369160271288537E-2</v>
      </c>
    </row>
    <row r="57" spans="1:10" x14ac:dyDescent="0.25">
      <c r="A57">
        <v>50</v>
      </c>
      <c r="B57">
        <f t="shared" si="9"/>
        <v>0.87266462599716477</v>
      </c>
      <c r="C57" s="109">
        <f t="shared" si="10"/>
        <v>2.8843602945820841</v>
      </c>
      <c r="D57" s="109">
        <f t="shared" si="11"/>
        <v>0.23294194780546917</v>
      </c>
      <c r="E57" s="109">
        <f t="shared" si="12"/>
        <v>0.12912140051644952</v>
      </c>
      <c r="F57" s="109">
        <f t="shared" si="13"/>
        <v>2.3870090895559679E-2</v>
      </c>
      <c r="G57">
        <f t="shared" si="14"/>
        <v>2.8843602945820841</v>
      </c>
      <c r="H57">
        <f t="shared" si="15"/>
        <v>0.23294194780546917</v>
      </c>
      <c r="I57" s="109">
        <f t="shared" si="16"/>
        <v>0.12912140051644952</v>
      </c>
      <c r="J57" s="109">
        <f t="shared" si="17"/>
        <v>2.3870090895559679E-2</v>
      </c>
    </row>
    <row r="58" spans="1:10" x14ac:dyDescent="0.25">
      <c r="A58">
        <v>51</v>
      </c>
      <c r="B58">
        <f t="shared" si="9"/>
        <v>0.89011791851710798</v>
      </c>
      <c r="C58" s="109">
        <f t="shared" si="10"/>
        <v>-1.1070955774700124</v>
      </c>
      <c r="D58" s="109">
        <f t="shared" si="11"/>
        <v>0.1984128759839523</v>
      </c>
      <c r="E58" s="109">
        <f t="shared" si="12"/>
        <v>-4.9560289585530951E-2</v>
      </c>
      <c r="F58" s="109">
        <f t="shared" si="13"/>
        <v>2.033181841744329E-2</v>
      </c>
      <c r="G58">
        <f t="shared" si="14"/>
        <v>-1.1070955774700124</v>
      </c>
      <c r="H58">
        <f t="shared" si="15"/>
        <v>0.1984128759839523</v>
      </c>
      <c r="I58" s="109">
        <f t="shared" si="16"/>
        <v>-4.9560289585530951E-2</v>
      </c>
      <c r="J58" s="109">
        <f t="shared" si="17"/>
        <v>2.033181841744329E-2</v>
      </c>
    </row>
    <row r="59" spans="1:10" x14ac:dyDescent="0.25">
      <c r="A59">
        <v>52</v>
      </c>
      <c r="B59">
        <f t="shared" si="9"/>
        <v>0.90757121103705141</v>
      </c>
      <c r="C59" s="109">
        <f t="shared" si="10"/>
        <v>-5.1169707388526842</v>
      </c>
      <c r="D59" s="109">
        <f t="shared" si="11"/>
        <v>0.16351827803267838</v>
      </c>
      <c r="E59" s="109">
        <f t="shared" si="12"/>
        <v>-0.22906653840833038</v>
      </c>
      <c r="F59" s="109">
        <f t="shared" si="13"/>
        <v>1.6756089645927615E-2</v>
      </c>
      <c r="G59">
        <f t="shared" si="14"/>
        <v>-5.1169707388526842</v>
      </c>
      <c r="H59">
        <f t="shared" si="15"/>
        <v>0.16351827803267838</v>
      </c>
      <c r="I59" s="109">
        <f t="shared" si="16"/>
        <v>-0.22906653840833038</v>
      </c>
      <c r="J59" s="109">
        <f t="shared" si="17"/>
        <v>1.6756089645927615E-2</v>
      </c>
    </row>
    <row r="60" spans="1:10" x14ac:dyDescent="0.25">
      <c r="A60">
        <v>53</v>
      </c>
      <c r="B60">
        <f t="shared" si="9"/>
        <v>0.92502450355699462</v>
      </c>
      <c r="C60" s="109">
        <f t="shared" si="10"/>
        <v>-9.1420254507146428</v>
      </c>
      <c r="D60" s="109">
        <f t="shared" si="11"/>
        <v>0.12827540487723588</v>
      </c>
      <c r="E60" s="109">
        <f t="shared" si="12"/>
        <v>-0.40925231565924514</v>
      </c>
      <c r="F60" s="109">
        <f t="shared" si="13"/>
        <v>1.3144672322571046E-2</v>
      </c>
      <c r="G60">
        <f t="shared" si="14"/>
        <v>-9.1420254507146428</v>
      </c>
      <c r="H60">
        <f t="shared" si="15"/>
        <v>0.12827540487723588</v>
      </c>
      <c r="I60" s="109">
        <f t="shared" si="16"/>
        <v>-0.40925231565924514</v>
      </c>
      <c r="J60" s="109">
        <f t="shared" si="17"/>
        <v>1.3144672322571046E-2</v>
      </c>
    </row>
    <row r="61" spans="1:10" x14ac:dyDescent="0.25">
      <c r="A61">
        <v>54</v>
      </c>
      <c r="B61">
        <f t="shared" si="9"/>
        <v>0.94247779607693793</v>
      </c>
      <c r="C61" s="109">
        <f t="shared" si="10"/>
        <v>-13.178987639285639</v>
      </c>
      <c r="D61" s="109">
        <f t="shared" si="11"/>
        <v>9.2701704446832456E-2</v>
      </c>
      <c r="E61" s="109">
        <f t="shared" si="12"/>
        <v>-0.58997114353915936</v>
      </c>
      <c r="F61" s="109">
        <f t="shared" si="13"/>
        <v>9.4993543763406529E-3</v>
      </c>
      <c r="G61">
        <f t="shared" si="14"/>
        <v>-13.178987639285639</v>
      </c>
      <c r="H61">
        <f t="shared" si="15"/>
        <v>9.2701704446832456E-2</v>
      </c>
      <c r="I61" s="109">
        <f t="shared" si="16"/>
        <v>-0.58997114353915936</v>
      </c>
      <c r="J61" s="109">
        <f t="shared" si="17"/>
        <v>9.4993543763406529E-3</v>
      </c>
    </row>
    <row r="62" spans="1:10" x14ac:dyDescent="0.25">
      <c r="A62">
        <v>55</v>
      </c>
      <c r="B62">
        <f t="shared" si="9"/>
        <v>0.95993108859688125</v>
      </c>
      <c r="C62" s="109">
        <f t="shared" si="10"/>
        <v>-17.224554515813782</v>
      </c>
      <c r="D62" s="109">
        <f t="shared" si="11"/>
        <v>5.6814814314764983E-2</v>
      </c>
      <c r="E62" s="109">
        <f t="shared" si="12"/>
        <v>-0.7710751692607305</v>
      </c>
      <c r="F62" s="109">
        <f t="shared" si="13"/>
        <v>5.8219431694644056E-3</v>
      </c>
      <c r="G62">
        <f t="shared" si="14"/>
        <v>-17.224554515813782</v>
      </c>
      <c r="H62">
        <f t="shared" si="15"/>
        <v>5.6814814314764983E-2</v>
      </c>
      <c r="I62" s="109">
        <f t="shared" si="16"/>
        <v>-0.7710751692607305</v>
      </c>
      <c r="J62" s="109">
        <f t="shared" si="17"/>
        <v>5.8219431694644056E-3</v>
      </c>
    </row>
    <row r="63" spans="1:10" x14ac:dyDescent="0.25">
      <c r="A63">
        <v>56</v>
      </c>
      <c r="B63">
        <f t="shared" si="9"/>
        <v>0.97738438111682457</v>
      </c>
      <c r="C63" s="109">
        <f t="shared" si="10"/>
        <v>-21.275394214110712</v>
      </c>
      <c r="D63" s="109">
        <f t="shared" si="11"/>
        <v>2.0632554254045088E-2</v>
      </c>
      <c r="E63" s="109">
        <f t="shared" si="12"/>
        <v>-0.95241523835480879</v>
      </c>
      <c r="F63" s="109">
        <f t="shared" si="13"/>
        <v>2.1142647345892057E-3</v>
      </c>
      <c r="G63">
        <f t="shared" si="14"/>
        <v>-21.275394214110712</v>
      </c>
      <c r="H63">
        <f t="shared" si="15"/>
        <v>2.0632554254045088E-2</v>
      </c>
      <c r="I63" s="109">
        <f t="shared" si="16"/>
        <v>-0.95241523835480879</v>
      </c>
      <c r="J63" s="109">
        <f t="shared" si="17"/>
        <v>2.1142647345892057E-3</v>
      </c>
    </row>
    <row r="64" spans="1:10" x14ac:dyDescent="0.25">
      <c r="A64">
        <v>57</v>
      </c>
      <c r="B64">
        <f t="shared" si="9"/>
        <v>0.99483767363676778</v>
      </c>
      <c r="C64" s="109">
        <f t="shared" si="10"/>
        <v>-25.328147445012764</v>
      </c>
      <c r="D64" s="109">
        <f t="shared" si="11"/>
        <v>-1.5827081288911526E-2</v>
      </c>
      <c r="E64" s="109">
        <f t="shared" si="12"/>
        <v>-1.1338409687341195</v>
      </c>
      <c r="F64" s="109">
        <f t="shared" si="13"/>
        <v>-1.6218369964572773E-3</v>
      </c>
      <c r="G64">
        <f t="shared" si="14"/>
        <v>-25.328147445012764</v>
      </c>
      <c r="H64">
        <f t="shared" si="15"/>
        <v>-1.5827081288911526E-2</v>
      </c>
      <c r="I64" s="109">
        <f t="shared" si="16"/>
        <v>-1.1338409687341195</v>
      </c>
      <c r="J64" s="109">
        <f t="shared" si="17"/>
        <v>-1.6218369964572773E-3</v>
      </c>
    </row>
    <row r="65" spans="1:10" x14ac:dyDescent="0.25">
      <c r="A65">
        <v>58</v>
      </c>
      <c r="B65">
        <f t="shared" si="9"/>
        <v>1.0122909661567112</v>
      </c>
      <c r="C65" s="109">
        <f t="shared" si="10"/>
        <v>-29.379429167059634</v>
      </c>
      <c r="D65" s="109">
        <f t="shared" si="11"/>
        <v>-5.2545930799607232E-2</v>
      </c>
      <c r="E65" s="109">
        <f t="shared" si="12"/>
        <v>-1.3152008254829375</v>
      </c>
      <c r="F65" s="109">
        <f t="shared" si="13"/>
        <v>-5.3845009720012516E-3</v>
      </c>
      <c r="G65">
        <f t="shared" si="14"/>
        <v>-29.379429167059634</v>
      </c>
      <c r="H65">
        <f t="shared" si="15"/>
        <v>-5.2545930799607232E-2</v>
      </c>
      <c r="I65" s="109">
        <f t="shared" si="16"/>
        <v>-1.3152008254829375</v>
      </c>
      <c r="J65" s="109">
        <f t="shared" si="17"/>
        <v>-5.3845009720012516E-3</v>
      </c>
    </row>
    <row r="66" spans="1:10" x14ac:dyDescent="0.25">
      <c r="A66">
        <v>59</v>
      </c>
      <c r="B66">
        <f t="shared" si="9"/>
        <v>1.0297442586766543</v>
      </c>
      <c r="C66" s="109">
        <f t="shared" si="10"/>
        <v>-33.425830272683811</v>
      </c>
      <c r="D66" s="109">
        <f t="shared" si="11"/>
        <v>-8.9505673376821693E-2</v>
      </c>
      <c r="E66" s="109">
        <f t="shared" si="12"/>
        <v>-1.4963421963411179</v>
      </c>
      <c r="F66" s="109">
        <f t="shared" si="13"/>
        <v>-9.1718498076491465E-3</v>
      </c>
      <c r="G66">
        <f t="shared" si="14"/>
        <v>-33.425830272683811</v>
      </c>
      <c r="H66">
        <f t="shared" si="15"/>
        <v>-8.9505673376821693E-2</v>
      </c>
      <c r="I66" s="109">
        <f t="shared" si="16"/>
        <v>-1.4963421963411179</v>
      </c>
      <c r="J66" s="109">
        <f t="shared" si="17"/>
        <v>-9.1718498076491465E-3</v>
      </c>
    </row>
    <row r="67" spans="1:10" x14ac:dyDescent="0.25">
      <c r="A67">
        <v>60</v>
      </c>
      <c r="B67">
        <f t="shared" si="9"/>
        <v>1.0471975511965976</v>
      </c>
      <c r="C67" s="109">
        <f t="shared" si="10"/>
        <v>-37.463919289198898</v>
      </c>
      <c r="D67" s="109">
        <f t="shared" si="11"/>
        <v>-0.12668783648703208</v>
      </c>
      <c r="E67" s="109">
        <f t="shared" si="12"/>
        <v>-1.6771114678506147</v>
      </c>
      <c r="F67" s="109">
        <f t="shared" si="13"/>
        <v>-1.2981990580900677E-2</v>
      </c>
      <c r="G67">
        <f t="shared" si="14"/>
        <v>-37.463919289198898</v>
      </c>
      <c r="H67">
        <f t="shared" si="15"/>
        <v>-0.12668783648703208</v>
      </c>
      <c r="I67" s="109">
        <f t="shared" si="16"/>
        <v>-1.6771114678506147</v>
      </c>
      <c r="J67" s="109">
        <f t="shared" si="17"/>
        <v>-1.2981990580900677E-2</v>
      </c>
    </row>
    <row r="68" spans="1:10" x14ac:dyDescent="0.25">
      <c r="A68">
        <v>61</v>
      </c>
      <c r="B68">
        <f t="shared" si="9"/>
        <v>1.064650843716541</v>
      </c>
      <c r="C68" s="109">
        <f t="shared" si="10"/>
        <v>-41.490244093865066</v>
      </c>
      <c r="D68" s="109">
        <f t="shared" si="11"/>
        <v>-0.16407380378884695</v>
      </c>
      <c r="E68" s="109">
        <f t="shared" si="12"/>
        <v>-1.8573541021321762</v>
      </c>
      <c r="F68" s="109">
        <f t="shared" si="13"/>
        <v>-1.6813015632936371E-2</v>
      </c>
      <c r="G68">
        <f t="shared" si="14"/>
        <v>-41.490244093865066</v>
      </c>
      <c r="H68">
        <f t="shared" si="15"/>
        <v>-0.16407380378884695</v>
      </c>
      <c r="I68" s="109">
        <f t="shared" si="16"/>
        <v>-1.8573541021321762</v>
      </c>
      <c r="J68" s="109">
        <f t="shared" si="17"/>
        <v>-1.6813015632936371E-2</v>
      </c>
    </row>
    <row r="69" spans="1:10" x14ac:dyDescent="0.25">
      <c r="A69">
        <v>62</v>
      </c>
      <c r="B69">
        <f t="shared" si="9"/>
        <v>1.0821041362364843</v>
      </c>
      <c r="C69" s="109">
        <f t="shared" si="10"/>
        <v>-45.501333642307166</v>
      </c>
      <c r="D69" s="109">
        <f t="shared" si="11"/>
        <v>-0.20164482302442144</v>
      </c>
      <c r="E69" s="109">
        <f t="shared" si="12"/>
        <v>-2.0369147142597877</v>
      </c>
      <c r="F69" s="109">
        <f t="shared" si="13"/>
        <v>-2.0663003377268813E-2</v>
      </c>
      <c r="G69">
        <f t="shared" si="14"/>
        <v>-45.501333642307166</v>
      </c>
      <c r="H69">
        <f t="shared" si="15"/>
        <v>-0.20164482302442144</v>
      </c>
      <c r="I69" s="109">
        <f t="shared" si="16"/>
        <v>-2.0369147142597877</v>
      </c>
      <c r="J69" s="109">
        <f t="shared" si="17"/>
        <v>-2.0663003377268813E-2</v>
      </c>
    </row>
    <row r="70" spans="1:10" x14ac:dyDescent="0.25">
      <c r="A70">
        <v>63</v>
      </c>
      <c r="B70">
        <f t="shared" si="9"/>
        <v>1.0995574287564276</v>
      </c>
      <c r="C70" s="109">
        <f t="shared" si="10"/>
        <v>-49.49369970955108</v>
      </c>
      <c r="D70" s="109">
        <f t="shared" si="11"/>
        <v>-0.23938201397476111</v>
      </c>
      <c r="E70" s="109">
        <f t="shared" si="12"/>
        <v>-2.215637150199981</v>
      </c>
      <c r="F70" s="109">
        <f t="shared" si="13"/>
        <v>-2.4530019114940734E-2</v>
      </c>
      <c r="G70">
        <f t="shared" si="14"/>
        <v>-49.49369970955108</v>
      </c>
      <c r="H70">
        <f t="shared" si="15"/>
        <v>-0.23938201397476111</v>
      </c>
      <c r="I70" s="109">
        <f t="shared" si="16"/>
        <v>-2.215637150199981</v>
      </c>
      <c r="J70" s="109">
        <f t="shared" si="17"/>
        <v>-2.4530019114940734E-2</v>
      </c>
    </row>
    <row r="71" spans="1:10" x14ac:dyDescent="0.25">
      <c r="A71">
        <v>64</v>
      </c>
      <c r="B71">
        <f t="shared" ref="B71:B102" si="18">A71*PI()/180</f>
        <v>1.1170107212763709</v>
      </c>
      <c r="C71" s="109">
        <f t="shared" ref="C71:C102" si="19">(0.0796*FA_SUS*D*0.5)-(0.238*FA_SUS*D*0.5*(1-COS(B71)))+(FA_SUS*0.5*D/PI())*(1-COS(B71)-B71*SIN(B71)*0.5)</f>
        <v>-53.4638386429409</v>
      </c>
      <c r="D71" s="109">
        <f t="shared" ref="D71:D102" si="20">0.238*FA_SUS*COS(B71)-(FA_SUS/(2*PI()))*B71*SIN(B71)</f>
        <v>-0.27726637647581309</v>
      </c>
      <c r="E71" s="109">
        <f t="shared" ref="E71:E102" si="21">0.000001*C71/Z_BareRoark</f>
        <v>-2.3933645652830027</v>
      </c>
      <c r="F71" s="109">
        <f t="shared" ref="F71:F102" si="22">D71*1000/(beff_Bare_Roark*Tnet_Bare_Roark)</f>
        <v>-2.8412115855952064E-2</v>
      </c>
      <c r="G71">
        <f t="shared" ref="G71:G102" si="23">(0.0796*FA_EXP*D*0.5)-(0.238*FA_EXP*D*0.5*(1-COS(B71)))+(FA_EXP*0.5*D/PI())*(1-COS(B71)-B71*SIN(B71)*0.5)</f>
        <v>-53.4638386429409</v>
      </c>
      <c r="H71">
        <f t="shared" ref="H71:H102" si="24">0.238*FA_EXP*COS(B71)-(FA_EXP/(2*PI()))*B71*SIN(B71)</f>
        <v>-0.27726637647581309</v>
      </c>
      <c r="I71" s="109">
        <f t="shared" ref="I71:I102" si="25">0.000001*G71/Z_BareRoark</f>
        <v>-2.3933645652830027</v>
      </c>
      <c r="J71" s="109">
        <f t="shared" ref="J71:J102" si="26">H71*1000/(beff_Bare_Roark*Tnet_Bare_Roark)</f>
        <v>-2.8412115855952064E-2</v>
      </c>
    </row>
    <row r="72" spans="1:10" x14ac:dyDescent="0.25">
      <c r="A72">
        <v>65</v>
      </c>
      <c r="B72">
        <f t="shared" si="18"/>
        <v>1.1344640137963142</v>
      </c>
      <c r="C72" s="109">
        <f t="shared" si="19"/>
        <v>-57.408233126191817</v>
      </c>
      <c r="D72" s="109">
        <f t="shared" si="20"/>
        <v>-0.31527879849221008</v>
      </c>
      <c r="E72" s="109">
        <f t="shared" si="21"/>
        <v>-2.5699395031724834</v>
      </c>
      <c r="F72" s="109">
        <f t="shared" si="22"/>
        <v>-3.2307335146594854E-2</v>
      </c>
      <c r="G72">
        <f t="shared" si="23"/>
        <v>-57.408233126191817</v>
      </c>
      <c r="H72">
        <f t="shared" si="24"/>
        <v>-0.31527879849221008</v>
      </c>
      <c r="I72" s="109">
        <f t="shared" si="25"/>
        <v>-2.5699395031724834</v>
      </c>
      <c r="J72" s="109">
        <f t="shared" si="26"/>
        <v>-3.2307335146594854E-2</v>
      </c>
    </row>
    <row r="73" spans="1:10" x14ac:dyDescent="0.25">
      <c r="A73">
        <v>66</v>
      </c>
      <c r="B73">
        <f t="shared" si="18"/>
        <v>1.1519173063162575</v>
      </c>
      <c r="C73" s="109">
        <f t="shared" si="19"/>
        <v>-61.323353953830235</v>
      </c>
      <c r="D73" s="109">
        <f t="shared" si="20"/>
        <v>-0.35340006424551534</v>
      </c>
      <c r="E73" s="109">
        <f t="shared" si="21"/>
        <v>-2.7452039753001025</v>
      </c>
      <c r="F73" s="109">
        <f t="shared" si="22"/>
        <v>-3.6213707902373014E-2</v>
      </c>
      <c r="G73">
        <f t="shared" si="23"/>
        <v>-61.323353953830235</v>
      </c>
      <c r="H73">
        <f t="shared" si="24"/>
        <v>-0.35340006424551534</v>
      </c>
      <c r="I73" s="109">
        <f t="shared" si="25"/>
        <v>-2.7452039753001025</v>
      </c>
      <c r="J73" s="109">
        <f t="shared" si="26"/>
        <v>-3.6213707902373014E-2</v>
      </c>
    </row>
    <row r="74" spans="1:10" x14ac:dyDescent="0.25">
      <c r="A74">
        <v>67</v>
      </c>
      <c r="B74">
        <f t="shared" si="18"/>
        <v>1.1693705988362006</v>
      </c>
      <c r="C74" s="109">
        <f t="shared" si="19"/>
        <v>-65.205661815265131</v>
      </c>
      <c r="D74" s="109">
        <f t="shared" si="20"/>
        <v>-0.39161086239378473</v>
      </c>
      <c r="E74" s="109">
        <f t="shared" si="21"/>
        <v>-2.9189995407314067</v>
      </c>
      <c r="F74" s="109">
        <f t="shared" si="22"/>
        <v>-4.012925524618062E-2</v>
      </c>
      <c r="G74">
        <f t="shared" si="23"/>
        <v>-65.205661815265131</v>
      </c>
      <c r="H74">
        <f t="shared" si="24"/>
        <v>-0.39161086239378473</v>
      </c>
      <c r="I74" s="109">
        <f t="shared" si="25"/>
        <v>-2.9189995407314067</v>
      </c>
      <c r="J74" s="109">
        <f t="shared" si="26"/>
        <v>-4.012925524618062E-2</v>
      </c>
    </row>
    <row r="75" spans="1:10" x14ac:dyDescent="0.25">
      <c r="A75">
        <v>68</v>
      </c>
      <c r="B75">
        <f t="shared" si="18"/>
        <v>1.1868238913561442</v>
      </c>
      <c r="C75" s="109">
        <f t="shared" si="19"/>
        <v>-69.051609087732032</v>
      </c>
      <c r="D75" s="109">
        <f t="shared" si="20"/>
        <v>-0.42989179425925306</v>
      </c>
      <c r="E75" s="109">
        <f t="shared" si="21"/>
        <v>-3.0911673864288174</v>
      </c>
      <c r="F75" s="109">
        <f t="shared" si="22"/>
        <v>-4.4051989351411629E-2</v>
      </c>
      <c r="G75">
        <f t="shared" si="23"/>
        <v>-69.051609087732032</v>
      </c>
      <c r="H75">
        <f t="shared" si="24"/>
        <v>-0.42989179425925306</v>
      </c>
      <c r="I75" s="109">
        <f t="shared" si="25"/>
        <v>-3.0911673864288174</v>
      </c>
      <c r="J75" s="109">
        <f t="shared" si="26"/>
        <v>-4.4051989351411629E-2</v>
      </c>
    </row>
    <row r="76" spans="1:10" x14ac:dyDescent="0.25">
      <c r="A76">
        <v>69</v>
      </c>
      <c r="B76">
        <f t="shared" si="18"/>
        <v>1.2042771838760873</v>
      </c>
      <c r="C76" s="109">
        <f t="shared" si="19"/>
        <v>-72.857641637345495</v>
      </c>
      <c r="D76" s="109">
        <f t="shared" si="20"/>
        <v>-0.46822338210091091</v>
      </c>
      <c r="E76" s="109">
        <f t="shared" si="21"/>
        <v>-3.2615484078776262</v>
      </c>
      <c r="F76" s="109">
        <f t="shared" si="22"/>
        <v>-4.7979914289669662E-2</v>
      </c>
      <c r="G76">
        <f t="shared" si="23"/>
        <v>-72.857641637345495</v>
      </c>
      <c r="H76">
        <f t="shared" si="24"/>
        <v>-0.46822338210091091</v>
      </c>
      <c r="I76" s="109">
        <f t="shared" si="25"/>
        <v>-3.2615484078776262</v>
      </c>
      <c r="J76" s="109">
        <f t="shared" si="26"/>
        <v>-4.7979914289669662E-2</v>
      </c>
    </row>
    <row r="77" spans="1:10" x14ac:dyDescent="0.25">
      <c r="A77">
        <v>70</v>
      </c>
      <c r="B77">
        <f t="shared" si="18"/>
        <v>1.2217304763960306</v>
      </c>
      <c r="C77" s="109">
        <f t="shared" si="19"/>
        <v>-76.620200627492636</v>
      </c>
      <c r="D77" s="109">
        <f t="shared" si="20"/>
        <v>-0.50658607742875383</v>
      </c>
      <c r="E77" s="109">
        <f t="shared" si="21"/>
        <v>-3.4299832900406217</v>
      </c>
      <c r="F77" s="109">
        <f t="shared" si="22"/>
        <v>-5.1911026882747985E-2</v>
      </c>
      <c r="G77">
        <f t="shared" si="23"/>
        <v>-76.620200627492636</v>
      </c>
      <c r="H77">
        <f t="shared" si="24"/>
        <v>-0.50658607742875383</v>
      </c>
      <c r="I77" s="109">
        <f t="shared" si="25"/>
        <v>-3.4299832900406217</v>
      </c>
      <c r="J77" s="109">
        <f t="shared" si="26"/>
        <v>-5.1911026882747985E-2</v>
      </c>
    </row>
    <row r="78" spans="1:10" x14ac:dyDescent="0.25">
      <c r="A78">
        <v>71</v>
      </c>
      <c r="B78">
        <f t="shared" si="18"/>
        <v>1.2391837689159739</v>
      </c>
      <c r="C78" s="109">
        <f t="shared" si="19"/>
        <v>-80.335724333794346</v>
      </c>
      <c r="D78" s="109">
        <f t="shared" si="20"/>
        <v>-0.54496026935642083</v>
      </c>
      <c r="E78" s="109">
        <f t="shared" si="21"/>
        <v>-3.5963125886067213</v>
      </c>
      <c r="F78" s="109">
        <f t="shared" si="22"/>
        <v>-5.5843317558543375E-2</v>
      </c>
      <c r="G78">
        <f t="shared" si="23"/>
        <v>-80.335724333794346</v>
      </c>
      <c r="H78">
        <f t="shared" si="24"/>
        <v>-0.54496026935642083</v>
      </c>
      <c r="I78" s="109">
        <f t="shared" si="25"/>
        <v>-3.5963125886067213</v>
      </c>
      <c r="J78" s="109">
        <f t="shared" si="26"/>
        <v>-5.5843317558543375E-2</v>
      </c>
    </row>
    <row r="79" spans="1:10" x14ac:dyDescent="0.25">
      <c r="A79">
        <v>72</v>
      </c>
      <c r="B79">
        <f t="shared" si="18"/>
        <v>1.2566370614359172</v>
      </c>
      <c r="C79" s="109">
        <f t="shared" si="19"/>
        <v>-84.00064996486006</v>
      </c>
      <c r="D79" s="109">
        <f t="shared" si="20"/>
        <v>-0.5833262929889661</v>
      </c>
      <c r="E79" s="109">
        <f t="shared" si="21"/>
        <v>-3.76037681149896</v>
      </c>
      <c r="F79" s="109">
        <f t="shared" si="22"/>
        <v>-5.977477121057017E-2</v>
      </c>
      <c r="G79">
        <f t="shared" si="23"/>
        <v>-84.00064996486006</v>
      </c>
      <c r="H79">
        <f t="shared" si="24"/>
        <v>-0.5833262929889661</v>
      </c>
      <c r="I79" s="109">
        <f t="shared" si="25"/>
        <v>-3.76037681149896</v>
      </c>
      <c r="J79" s="109">
        <f t="shared" si="26"/>
        <v>-5.977477121057017E-2</v>
      </c>
    </row>
    <row r="80" spans="1:10" x14ac:dyDescent="0.25">
      <c r="A80">
        <v>73</v>
      </c>
      <c r="B80">
        <f t="shared" si="18"/>
        <v>1.2740903539558606</v>
      </c>
      <c r="C80" s="109">
        <f t="shared" si="19"/>
        <v>-87.611415488056934</v>
      </c>
      <c r="D80" s="109">
        <f t="shared" si="20"/>
        <v>-0.62166443784246539</v>
      </c>
      <c r="E80" s="109">
        <f t="shared" si="21"/>
        <v>-3.9220165006069543</v>
      </c>
      <c r="F80" s="109">
        <f t="shared" si="22"/>
        <v>-6.370336806073644E-2</v>
      </c>
      <c r="G80">
        <f t="shared" si="23"/>
        <v>-87.611415488056934</v>
      </c>
      <c r="H80">
        <f t="shared" si="24"/>
        <v>-0.62166443784246539</v>
      </c>
      <c r="I80" s="109">
        <f t="shared" si="25"/>
        <v>-3.9220165006069543</v>
      </c>
      <c r="J80" s="109">
        <f t="shared" si="26"/>
        <v>-6.370336806073644E-2</v>
      </c>
    </row>
    <row r="81" spans="1:10" x14ac:dyDescent="0.25">
      <c r="A81">
        <v>74</v>
      </c>
      <c r="B81">
        <f t="shared" si="18"/>
        <v>1.2915436464758039</v>
      </c>
      <c r="C81" s="109">
        <f t="shared" si="19"/>
        <v>-91.16446145951133</v>
      </c>
      <c r="D81" s="109">
        <f t="shared" si="20"/>
        <v>-0.6599549562921545</v>
      </c>
      <c r="E81" s="109">
        <f t="shared" si="21"/>
        <v>-4.0810723137088303</v>
      </c>
      <c r="F81" s="109">
        <f t="shared" si="22"/>
        <v>-6.7627084525043971E-2</v>
      </c>
      <c r="G81">
        <f t="shared" si="23"/>
        <v>-91.16446145951133</v>
      </c>
      <c r="H81">
        <f t="shared" si="24"/>
        <v>-0.6599549562921545</v>
      </c>
      <c r="I81" s="109">
        <f t="shared" si="25"/>
        <v>-4.0810723137088303</v>
      </c>
      <c r="J81" s="109">
        <f t="shared" si="26"/>
        <v>-6.7627084525043971E-2</v>
      </c>
    </row>
    <row r="82" spans="1:10" x14ac:dyDescent="0.25">
      <c r="A82">
        <v>75</v>
      </c>
      <c r="B82">
        <f t="shared" si="18"/>
        <v>1.3089969389957472</v>
      </c>
      <c r="C82" s="109">
        <f t="shared" si="19"/>
        <v>-94.656232857558564</v>
      </c>
      <c r="D82" s="109">
        <f t="shared" si="20"/>
        <v>-0.69817807204577997</v>
      </c>
      <c r="E82" s="109">
        <f t="shared" si="21"/>
        <v>-4.2373851065475163</v>
      </c>
      <c r="F82" s="109">
        <f t="shared" si="22"/>
        <v>-7.1543894081871756E-2</v>
      </c>
      <c r="G82">
        <f t="shared" si="23"/>
        <v>-94.656232857558564</v>
      </c>
      <c r="H82">
        <f t="shared" si="24"/>
        <v>-0.69817807204577997</v>
      </c>
      <c r="I82" s="109">
        <f t="shared" si="25"/>
        <v>-4.2373851065475163</v>
      </c>
      <c r="J82" s="109">
        <f t="shared" si="26"/>
        <v>-7.1543894081871756E-2</v>
      </c>
    </row>
    <row r="83" spans="1:10" x14ac:dyDescent="0.25">
      <c r="A83">
        <v>76</v>
      </c>
      <c r="B83">
        <f t="shared" si="18"/>
        <v>1.3264502315156903</v>
      </c>
      <c r="C83" s="109">
        <f t="shared" si="19"/>
        <v>-98.083180918854652</v>
      </c>
      <c r="D83" s="109">
        <f t="shared" si="20"/>
        <v>-0.7363139886388359</v>
      </c>
      <c r="E83" s="109">
        <f t="shared" si="21"/>
        <v>-4.3907960150261998</v>
      </c>
      <c r="F83" s="109">
        <f t="shared" si="22"/>
        <v>-7.5451768142502207E-2</v>
      </c>
      <c r="G83">
        <f t="shared" si="23"/>
        <v>-98.083180918854652</v>
      </c>
      <c r="H83">
        <f t="shared" si="24"/>
        <v>-0.7363139886388359</v>
      </c>
      <c r="I83" s="109">
        <f t="shared" si="25"/>
        <v>-4.3907960150261998</v>
      </c>
      <c r="J83" s="109">
        <f t="shared" si="26"/>
        <v>-7.5451768142502207E-2</v>
      </c>
    </row>
    <row r="84" spans="1:10" x14ac:dyDescent="0.25">
      <c r="A84">
        <v>77</v>
      </c>
      <c r="B84">
        <f t="shared" si="18"/>
        <v>1.3439035240356338</v>
      </c>
      <c r="C84" s="109">
        <f t="shared" si="19"/>
        <v>-101.44176497636016</v>
      </c>
      <c r="D84" s="109">
        <f t="shared" si="20"/>
        <v>-0.77434289794834421</v>
      </c>
      <c r="E84" s="109">
        <f t="shared" si="21"/>
        <v>-4.5411465374875997</v>
      </c>
      <c r="F84" s="109">
        <f t="shared" si="22"/>
        <v>-7.9348676923547634E-2</v>
      </c>
      <c r="G84">
        <f t="shared" si="23"/>
        <v>-101.44176497636016</v>
      </c>
      <c r="H84">
        <f t="shared" si="24"/>
        <v>-0.77434289794834421</v>
      </c>
      <c r="I84" s="109">
        <f t="shared" si="25"/>
        <v>-4.5411465374875997</v>
      </c>
      <c r="J84" s="109">
        <f t="shared" si="26"/>
        <v>-7.9348676923547634E-2</v>
      </c>
    </row>
    <row r="85" spans="1:10" x14ac:dyDescent="0.25">
      <c r="A85">
        <v>78</v>
      </c>
      <c r="B85">
        <f t="shared" si="18"/>
        <v>1.3613568165555769</v>
      </c>
      <c r="C85" s="109">
        <f t="shared" si="19"/>
        <v>-104.72845429840666</v>
      </c>
      <c r="D85" s="109">
        <f t="shared" si="20"/>
        <v>-0.81224498872182216</v>
      </c>
      <c r="E85" s="109">
        <f t="shared" si="21"/>
        <v>-4.6882786170416866</v>
      </c>
      <c r="F85" s="109">
        <f t="shared" si="22"/>
        <v>-8.3232590320932873E-2</v>
      </c>
      <c r="G85">
        <f t="shared" si="23"/>
        <v>-104.72845429840666</v>
      </c>
      <c r="H85">
        <f t="shared" si="24"/>
        <v>-0.81224498872182216</v>
      </c>
      <c r="I85" s="109">
        <f t="shared" si="25"/>
        <v>-4.6882786170416866</v>
      </c>
      <c r="J85" s="109">
        <f t="shared" si="26"/>
        <v>-8.3232590320932873E-2</v>
      </c>
    </row>
    <row r="86" spans="1:10" x14ac:dyDescent="0.25">
      <c r="A86">
        <v>79</v>
      </c>
      <c r="B86">
        <f t="shared" si="18"/>
        <v>1.3788101090755203</v>
      </c>
      <c r="C86" s="109">
        <f t="shared" si="19"/>
        <v>-107.93972992805421</v>
      </c>
      <c r="D86" s="109">
        <f t="shared" si="20"/>
        <v>-0.85000045511809863</v>
      </c>
      <c r="E86" s="109">
        <f t="shared" si="21"/>
        <v>-4.8320347239064541</v>
      </c>
      <c r="F86" s="109">
        <f t="shared" si="22"/>
        <v>-8.7101478785092126E-2</v>
      </c>
      <c r="G86">
        <f t="shared" si="23"/>
        <v>-107.93972992805421</v>
      </c>
      <c r="H86">
        <f t="shared" si="24"/>
        <v>-0.85000045511809863</v>
      </c>
      <c r="I86" s="109">
        <f t="shared" si="25"/>
        <v>-4.8320347239064541</v>
      </c>
      <c r="J86" s="109">
        <f t="shared" si="26"/>
        <v>-8.7101478785092126E-2</v>
      </c>
    </row>
    <row r="87" spans="1:10" x14ac:dyDescent="0.25">
      <c r="A87">
        <v>80</v>
      </c>
      <c r="B87">
        <f t="shared" si="18"/>
        <v>1.3962634015954636</v>
      </c>
      <c r="C87" s="109">
        <f t="shared" si="19"/>
        <v>-111.0720865219451</v>
      </c>
      <c r="D87" s="109">
        <f t="shared" si="20"/>
        <v>-0.88758950525658398</v>
      </c>
      <c r="E87" s="109">
        <f t="shared" si="21"/>
        <v>-4.9722579377261171</v>
      </c>
      <c r="F87" s="109">
        <f t="shared" si="22"/>
        <v>-9.0953314197032162E-2</v>
      </c>
      <c r="G87">
        <f t="shared" si="23"/>
        <v>-111.0720865219451</v>
      </c>
      <c r="H87">
        <f t="shared" si="24"/>
        <v>-0.88758950525658398</v>
      </c>
      <c r="I87" s="109">
        <f t="shared" si="25"/>
        <v>-4.9722579377261171</v>
      </c>
      <c r="J87" s="109">
        <f t="shared" si="26"/>
        <v>-9.0953314197032162E-2</v>
      </c>
    </row>
    <row r="88" spans="1:10" x14ac:dyDescent="0.25">
      <c r="A88">
        <v>81</v>
      </c>
      <c r="B88">
        <f t="shared" si="18"/>
        <v>1.4137166941154069</v>
      </c>
      <c r="C88" s="109">
        <f t="shared" si="19"/>
        <v>-114.12203418786291</v>
      </c>
      <c r="D88" s="109">
        <f t="shared" si="20"/>
        <v>-0.92499236977165522</v>
      </c>
      <c r="E88" s="109">
        <f t="shared" si="21"/>
        <v>-5.1087920298313625</v>
      </c>
      <c r="F88" s="109">
        <f t="shared" si="22"/>
        <v>-9.4786070744919557E-2</v>
      </c>
      <c r="G88">
        <f t="shared" si="23"/>
        <v>-114.12203418786291</v>
      </c>
      <c r="H88">
        <f t="shared" si="24"/>
        <v>-0.92499236977165522</v>
      </c>
      <c r="I88" s="109">
        <f t="shared" si="25"/>
        <v>-5.1087920298313625</v>
      </c>
      <c r="J88" s="109">
        <f t="shared" si="26"/>
        <v>-9.4786070744919557E-2</v>
      </c>
    </row>
    <row r="89" spans="1:10" x14ac:dyDescent="0.25">
      <c r="A89">
        <v>82</v>
      </c>
      <c r="B89">
        <f t="shared" si="18"/>
        <v>1.43116998663535</v>
      </c>
      <c r="C89" s="109">
        <f t="shared" si="19"/>
        <v>-117.08610032019955</v>
      </c>
      <c r="D89" s="109">
        <f t="shared" si="20"/>
        <v>-0.96218931036875455</v>
      </c>
      <c r="E89" s="109">
        <f t="shared" si="21"/>
        <v>-5.2414815454059545</v>
      </c>
      <c r="F89" s="109">
        <f t="shared" si="22"/>
        <v>-9.8597725800843528E-2</v>
      </c>
      <c r="G89">
        <f t="shared" si="23"/>
        <v>-117.08610032019955</v>
      </c>
      <c r="H89">
        <f t="shared" si="24"/>
        <v>-0.96218931036875455</v>
      </c>
      <c r="I89" s="109">
        <f t="shared" si="25"/>
        <v>-5.2414815454059545</v>
      </c>
      <c r="J89" s="109">
        <f t="shared" si="26"/>
        <v>-9.8597725800843528E-2</v>
      </c>
    </row>
    <row r="90" spans="1:10" x14ac:dyDescent="0.25">
      <c r="A90">
        <v>83</v>
      </c>
      <c r="B90">
        <f t="shared" si="18"/>
        <v>1.4486232791552935</v>
      </c>
      <c r="C90" s="109">
        <f t="shared" si="19"/>
        <v>-119.96083143253907</v>
      </c>
      <c r="D90" s="109">
        <f t="shared" si="20"/>
        <v>-0.99916062837884301</v>
      </c>
      <c r="E90" s="109">
        <f t="shared" si="21"/>
        <v>-5.3701718855242548</v>
      </c>
      <c r="F90" s="109">
        <f t="shared" si="22"/>
        <v>-0.10238626079741033</v>
      </c>
      <c r="G90">
        <f t="shared" si="23"/>
        <v>-119.96083143253907</v>
      </c>
      <c r="H90">
        <f t="shared" si="24"/>
        <v>-0.99916062837884301</v>
      </c>
      <c r="I90" s="109">
        <f t="shared" si="25"/>
        <v>-5.3701718855242548</v>
      </c>
      <c r="J90" s="109">
        <f t="shared" si="26"/>
        <v>-0.10238626079741033</v>
      </c>
    </row>
    <row r="91" spans="1:10" x14ac:dyDescent="0.25">
      <c r="A91">
        <v>84</v>
      </c>
      <c r="B91">
        <f t="shared" si="18"/>
        <v>1.4660765716752369</v>
      </c>
      <c r="C91" s="109">
        <f t="shared" si="19"/>
        <v>-122.74279498656051</v>
      </c>
      <c r="D91" s="109">
        <f t="shared" si="20"/>
        <v>-1.0358866733078114</v>
      </c>
      <c r="E91" s="109">
        <f t="shared" si="21"/>
        <v>-5.4947093890239742</v>
      </c>
      <c r="F91" s="109">
        <f t="shared" si="22"/>
        <v>-0.10614966210382071</v>
      </c>
      <c r="G91">
        <f t="shared" si="23"/>
        <v>-122.74279498656051</v>
      </c>
      <c r="H91">
        <f t="shared" si="24"/>
        <v>-1.0358866733078114</v>
      </c>
      <c r="I91" s="109">
        <f t="shared" si="25"/>
        <v>-5.4947093890239742</v>
      </c>
      <c r="J91" s="109">
        <f t="shared" si="26"/>
        <v>-0.10614966210382071</v>
      </c>
    </row>
    <row r="92" spans="1:10" x14ac:dyDescent="0.25">
      <c r="A92">
        <v>85</v>
      </c>
      <c r="B92">
        <f t="shared" si="18"/>
        <v>1.4835298641951802</v>
      </c>
      <c r="C92" s="109">
        <f t="shared" si="19"/>
        <v>-125.42858121646954</v>
      </c>
      <c r="D92" s="109">
        <f t="shared" si="20"/>
        <v>-1.0723478513774867</v>
      </c>
      <c r="E92" s="109">
        <f t="shared" si="21"/>
        <v>-5.6149414141787561</v>
      </c>
      <c r="F92" s="109">
        <f t="shared" si="22"/>
        <v>-0.1098859219010864</v>
      </c>
      <c r="G92">
        <f t="shared" si="23"/>
        <v>-125.42858121646954</v>
      </c>
      <c r="H92">
        <f t="shared" si="24"/>
        <v>-1.0723478513774867</v>
      </c>
      <c r="I92" s="109">
        <f t="shared" si="25"/>
        <v>-5.6149414141787561</v>
      </c>
      <c r="J92" s="109">
        <f t="shared" si="26"/>
        <v>-0.1098859219010864</v>
      </c>
    </row>
    <row r="93" spans="1:10" x14ac:dyDescent="0.25">
      <c r="A93">
        <v>86</v>
      </c>
      <c r="B93">
        <f t="shared" si="18"/>
        <v>1.5009831567151233</v>
      </c>
      <c r="C93" s="109">
        <f t="shared" si="19"/>
        <v>-128.01480494816357</v>
      </c>
      <c r="D93" s="109">
        <f t="shared" si="20"/>
        <v>-1.1085246340548363</v>
      </c>
      <c r="E93" s="109">
        <f t="shared" si="21"/>
        <v>-5.7307164201350069</v>
      </c>
      <c r="F93" s="109">
        <f t="shared" si="22"/>
        <v>-0.11359303905603692</v>
      </c>
      <c r="G93">
        <f t="shared" si="23"/>
        <v>-128.01480494816357</v>
      </c>
      <c r="H93">
        <f t="shared" si="24"/>
        <v>-1.1085246340548363</v>
      </c>
      <c r="I93" s="109">
        <f t="shared" si="25"/>
        <v>-5.7307164201350069</v>
      </c>
      <c r="J93" s="109">
        <f t="shared" si="26"/>
        <v>-0.11359303905603692</v>
      </c>
    </row>
    <row r="94" spans="1:10" x14ac:dyDescent="0.25">
      <c r="A94">
        <v>87</v>
      </c>
      <c r="B94">
        <f t="shared" si="18"/>
        <v>1.5184364492350666</v>
      </c>
      <c r="C94" s="109">
        <f t="shared" si="19"/>
        <v>-130.49810741233915</v>
      </c>
      <c r="D94" s="109">
        <f t="shared" si="20"/>
        <v>-1.1443975665660067</v>
      </c>
      <c r="E94" s="109">
        <f t="shared" si="21"/>
        <v>-5.8418840480775343</v>
      </c>
      <c r="F94" s="109">
        <f t="shared" si="22"/>
        <v>-0.11726901999377255</v>
      </c>
      <c r="G94">
        <f t="shared" si="23"/>
        <v>-130.49810741233915</v>
      </c>
      <c r="H94">
        <f t="shared" si="24"/>
        <v>-1.1443975665660067</v>
      </c>
      <c r="I94" s="109">
        <f t="shared" si="25"/>
        <v>-5.8418840480775343</v>
      </c>
      <c r="J94" s="109">
        <f t="shared" si="26"/>
        <v>-0.11726901999377255</v>
      </c>
    </row>
    <row r="95" spans="1:10" x14ac:dyDescent="0.25">
      <c r="A95">
        <v>88</v>
      </c>
      <c r="B95">
        <f t="shared" si="18"/>
        <v>1.5358897417550099</v>
      </c>
      <c r="C95" s="109">
        <f t="shared" si="19"/>
        <v>-132.87515805075077</v>
      </c>
      <c r="D95" s="109">
        <f t="shared" si="20"/>
        <v>-1.1799472763918075</v>
      </c>
      <c r="E95" s="109">
        <f t="shared" si="21"/>
        <v>-5.9482952020886177</v>
      </c>
      <c r="F95" s="109">
        <f t="shared" si="22"/>
        <v>-0.1209118795682159</v>
      </c>
      <c r="G95">
        <f t="shared" si="23"/>
        <v>-132.87515805075077</v>
      </c>
      <c r="H95">
        <f t="shared" si="24"/>
        <v>-1.1799472763918075</v>
      </c>
      <c r="I95" s="109">
        <f t="shared" si="25"/>
        <v>-5.9482952020886177</v>
      </c>
      <c r="J95" s="109">
        <f t="shared" si="26"/>
        <v>-0.1209118795682159</v>
      </c>
    </row>
    <row r="96" spans="1:10" x14ac:dyDescent="0.25">
      <c r="A96">
        <v>89</v>
      </c>
      <c r="B96">
        <f t="shared" si="18"/>
        <v>1.5533430342749535</v>
      </c>
      <c r="C96" s="109">
        <f t="shared" si="19"/>
        <v>-135.14265631483391</v>
      </c>
      <c r="D96" s="109">
        <f t="shared" si="20"/>
        <v>-1.2151544817412834</v>
      </c>
      <c r="E96" s="109">
        <f t="shared" si="21"/>
        <v>-6.0498021296652418</v>
      </c>
      <c r="F96" s="109">
        <f t="shared" si="22"/>
        <v>-0.12451964193041805</v>
      </c>
      <c r="G96">
        <f t="shared" si="23"/>
        <v>-135.14265631483391</v>
      </c>
      <c r="H96">
        <f t="shared" si="24"/>
        <v>-1.2151544817412834</v>
      </c>
      <c r="I96" s="109">
        <f t="shared" si="25"/>
        <v>-6.0498021296652418</v>
      </c>
      <c r="J96" s="109">
        <f t="shared" si="26"/>
        <v>-0.12451964193041805</v>
      </c>
    </row>
    <row r="97" spans="1:10" x14ac:dyDescent="0.25">
      <c r="A97">
        <v>90</v>
      </c>
      <c r="B97">
        <f t="shared" si="18"/>
        <v>1.5707963267948966</v>
      </c>
      <c r="C97" s="109">
        <f t="shared" si="19"/>
        <v>-137.29733345590296</v>
      </c>
      <c r="D97" s="109">
        <f t="shared" si="20"/>
        <v>-1.25</v>
      </c>
      <c r="E97" s="109">
        <f t="shared" si="21"/>
        <v>-6.146258501859176</v>
      </c>
      <c r="F97" s="109">
        <f t="shared" si="22"/>
        <v>-0.12809034139427355</v>
      </c>
      <c r="G97">
        <f t="shared" si="23"/>
        <v>-137.29733345590296</v>
      </c>
      <c r="H97">
        <f t="shared" si="24"/>
        <v>-1.25</v>
      </c>
      <c r="I97" s="109">
        <f t="shared" si="25"/>
        <v>-6.146258501859176</v>
      </c>
      <c r="J97" s="109">
        <f t="shared" si="26"/>
        <v>-0.12809034139427355</v>
      </c>
    </row>
    <row r="98" spans="1:10" x14ac:dyDescent="0.25">
      <c r="A98">
        <v>91</v>
      </c>
      <c r="B98">
        <f t="shared" si="18"/>
        <v>1.5882496193148399</v>
      </c>
      <c r="C98" s="109">
        <f t="shared" si="19"/>
        <v>-139.33595430614224</v>
      </c>
      <c r="D98" s="109">
        <f t="shared" si="20"/>
        <v>-1.2844647561496954</v>
      </c>
      <c r="E98" s="109">
        <f t="shared" si="21"/>
        <v>-6.2375194930048989</v>
      </c>
      <c r="F98" s="109">
        <f t="shared" si="22"/>
        <v>-0.13162202329930148</v>
      </c>
      <c r="G98">
        <f t="shared" si="23"/>
        <v>-139.33595430614224</v>
      </c>
      <c r="H98">
        <f t="shared" si="24"/>
        <v>-1.2844647561496954</v>
      </c>
      <c r="I98" s="109">
        <f t="shared" si="25"/>
        <v>-6.2375194930048989</v>
      </c>
      <c r="J98" s="109">
        <f t="shared" si="26"/>
        <v>-0.13162202329930148</v>
      </c>
    </row>
    <row r="99" spans="1:10" x14ac:dyDescent="0.25">
      <c r="A99">
        <v>92</v>
      </c>
      <c r="B99">
        <f t="shared" si="18"/>
        <v>1.605702911834783</v>
      </c>
      <c r="C99" s="109">
        <f t="shared" si="19"/>
        <v>-141.25531904960616</v>
      </c>
      <c r="D99" s="109">
        <f t="shared" si="20"/>
        <v>-1.3185297911559315</v>
      </c>
      <c r="E99" s="109">
        <f t="shared" si="21"/>
        <v>-6.3234418600002691</v>
      </c>
      <c r="F99" s="109">
        <f t="shared" si="22"/>
        <v>-0.13511274487014679</v>
      </c>
      <c r="G99">
        <f t="shared" si="23"/>
        <v>-141.25531904960616</v>
      </c>
      <c r="H99">
        <f t="shared" si="24"/>
        <v>-1.3185297911559315</v>
      </c>
      <c r="I99" s="109">
        <f t="shared" si="25"/>
        <v>-6.3234418600002691</v>
      </c>
      <c r="J99" s="109">
        <f t="shared" si="26"/>
        <v>-0.13511274487014679</v>
      </c>
    </row>
    <row r="100" spans="1:10" x14ac:dyDescent="0.25">
      <c r="A100">
        <v>93</v>
      </c>
      <c r="B100">
        <f t="shared" si="18"/>
        <v>1.6231562043547263</v>
      </c>
      <c r="C100" s="109">
        <f t="shared" si="19"/>
        <v>-143.05226498245213</v>
      </c>
      <c r="D100" s="109">
        <f t="shared" si="20"/>
        <v>-1.3521762703204272</v>
      </c>
      <c r="E100" s="109">
        <f t="shared" si="21"/>
        <v>-6.4038840211051902</v>
      </c>
      <c r="F100" s="109">
        <f t="shared" si="22"/>
        <v>-0.13856057607246325</v>
      </c>
      <c r="G100">
        <f t="shared" si="23"/>
        <v>-143.05226498245213</v>
      </c>
      <c r="H100">
        <f t="shared" si="24"/>
        <v>-1.3521762703204272</v>
      </c>
      <c r="I100" s="109">
        <f t="shared" si="25"/>
        <v>-6.4038840211051902</v>
      </c>
      <c r="J100" s="109">
        <f t="shared" si="26"/>
        <v>-0.13856057607246325</v>
      </c>
    </row>
    <row r="101" spans="1:10" x14ac:dyDescent="0.25">
      <c r="A101">
        <v>94</v>
      </c>
      <c r="B101">
        <f t="shared" si="18"/>
        <v>1.6406094968746698</v>
      </c>
      <c r="C101" s="109">
        <f t="shared" si="19"/>
        <v>-144.7236682616284</v>
      </c>
      <c r="D101" s="109">
        <f t="shared" si="20"/>
        <v>-1.3853854915947243</v>
      </c>
      <c r="E101" s="109">
        <f t="shared" si="21"/>
        <v>-6.4787061342234473</v>
      </c>
      <c r="F101" s="109">
        <f t="shared" si="22"/>
        <v>-0.14196360046483339</v>
      </c>
      <c r="G101">
        <f t="shared" si="23"/>
        <v>-144.7236682616284</v>
      </c>
      <c r="H101">
        <f t="shared" si="24"/>
        <v>-1.3853854915947243</v>
      </c>
      <c r="I101" s="109">
        <f t="shared" si="25"/>
        <v>-6.4787061342234473</v>
      </c>
      <c r="J101" s="109">
        <f t="shared" si="26"/>
        <v>-0.14196360046483339</v>
      </c>
    </row>
    <row r="102" spans="1:10" x14ac:dyDescent="0.25">
      <c r="A102">
        <v>95</v>
      </c>
      <c r="B102">
        <f t="shared" si="18"/>
        <v>1.6580627893946132</v>
      </c>
      <c r="C102" s="109">
        <f t="shared" si="19"/>
        <v>-146.26644564124655</v>
      </c>
      <c r="D102" s="109">
        <f t="shared" si="20"/>
        <v>-1.4181388938518777</v>
      </c>
      <c r="E102" s="109">
        <f t="shared" si="21"/>
        <v>-6.5477701746332304</v>
      </c>
      <c r="F102" s="109">
        <f t="shared" si="22"/>
        <v>-0.14531991604638761</v>
      </c>
      <c r="G102">
        <f t="shared" si="23"/>
        <v>-146.26644564124655</v>
      </c>
      <c r="H102">
        <f t="shared" si="24"/>
        <v>-1.4181388938518777</v>
      </c>
      <c r="I102" s="109">
        <f t="shared" si="25"/>
        <v>-6.5477701746332304</v>
      </c>
      <c r="J102" s="109">
        <f t="shared" si="26"/>
        <v>-0.14531991604638761</v>
      </c>
    </row>
    <row r="103" spans="1:10" x14ac:dyDescent="0.25">
      <c r="A103">
        <v>96</v>
      </c>
      <c r="B103">
        <f t="shared" ref="B103:B134" si="27">A103*PI()/180</f>
        <v>1.6755160819145563</v>
      </c>
      <c r="C103" s="109">
        <f t="shared" ref="C103:C134" si="28">(0.0796*FA_SUS*D*0.5)-(0.238*FA_SUS*D*0.5*(1-COS(B103)))+(FA_SUS*0.5*D/PI())*(1-COS(B103)-B103*SIN(B103)*0.5)</f>
        <v>-147.67755619586978</v>
      </c>
      <c r="D103" s="109">
        <f t="shared" ref="D103:D134" si="29">0.238*FA_SUS*COS(B103)-(FA_SUS/(2*PI()))*B103*SIN(B103)</f>
        <v>-1.450418065112872</v>
      </c>
      <c r="E103" s="109">
        <f t="shared" ref="E103:E134" si="30">0.000001*C103/Z_BareRoark</f>
        <v>-6.6109400121319455</v>
      </c>
      <c r="F103" s="109">
        <f t="shared" ref="F103:F134" si="31">D103*1000/(beff_Bare_Roark*Tnet_Bare_Roark)</f>
        <v>-0.14862763609978358</v>
      </c>
      <c r="G103">
        <f t="shared" ref="G103:G134" si="32">(0.0796*FA_EXP*D*0.5)-(0.238*FA_EXP*D*0.5*(1-COS(B103)))+(FA_EXP*0.5*D/PI())*(1-COS(B103)-B103*SIN(B103)*0.5)</f>
        <v>-147.67755619586978</v>
      </c>
      <c r="H103">
        <f t="shared" ref="H103:H134" si="33">0.238*FA_EXP*COS(B103)-(FA_EXP/(2*PI()))*B103*SIN(B103)</f>
        <v>-1.450418065112872</v>
      </c>
      <c r="I103" s="109">
        <f t="shared" ref="I103:I134" si="34">0.000001*G103/Z_BareRoark</f>
        <v>-6.6109400121319455</v>
      </c>
      <c r="J103" s="109">
        <f t="shared" ref="J103:J134" si="35">H103*1000/(beff_Bare_Roark*Tnet_Bare_Roark)</f>
        <v>-0.14862763609978358</v>
      </c>
    </row>
    <row r="104" spans="1:10" x14ac:dyDescent="0.25">
      <c r="A104">
        <v>97</v>
      </c>
      <c r="B104">
        <f t="shared" si="27"/>
        <v>1.6929693744344996</v>
      </c>
      <c r="C104" s="109">
        <f t="shared" si="28"/>
        <v>-148.95400302995429</v>
      </c>
      <c r="D104" s="109">
        <f t="shared" si="29"/>
        <v>-1.482204750724462</v>
      </c>
      <c r="E104" s="109">
        <f t="shared" si="30"/>
        <v>-6.6680814875611309</v>
      </c>
      <c r="F104" s="109">
        <f t="shared" si="31"/>
        <v>-0.15188489002920838</v>
      </c>
      <c r="G104">
        <f t="shared" si="32"/>
        <v>-148.95400302995429</v>
      </c>
      <c r="H104">
        <f t="shared" si="33"/>
        <v>-1.482204750724462</v>
      </c>
      <c r="I104" s="109">
        <f t="shared" si="34"/>
        <v>-6.6680814875611309</v>
      </c>
      <c r="J104" s="109">
        <f t="shared" si="35"/>
        <v>-0.15188489002920838</v>
      </c>
    </row>
    <row r="105" spans="1:10" x14ac:dyDescent="0.25">
      <c r="A105">
        <v>98</v>
      </c>
      <c r="B105">
        <f t="shared" si="27"/>
        <v>1.7104226669544429</v>
      </c>
      <c r="C105" s="109">
        <f t="shared" si="28"/>
        <v>-150.09283497268297</v>
      </c>
      <c r="D105" s="109">
        <f t="shared" si="29"/>
        <v>-1.5134808614851709</v>
      </c>
      <c r="E105" s="109">
        <f t="shared" si="30"/>
        <v>-6.719062488677463</v>
      </c>
      <c r="F105" s="109">
        <f t="shared" si="31"/>
        <v>-0.15508982419306783</v>
      </c>
      <c r="G105">
        <f t="shared" si="32"/>
        <v>-150.09283497268297</v>
      </c>
      <c r="H105">
        <f t="shared" si="33"/>
        <v>-1.5134808614851709</v>
      </c>
      <c r="I105" s="109">
        <f t="shared" si="34"/>
        <v>-6.719062488677463</v>
      </c>
      <c r="J105" s="109">
        <f t="shared" si="35"/>
        <v>-0.15508982419306783</v>
      </c>
    </row>
    <row r="106" spans="1:10" x14ac:dyDescent="0.25">
      <c r="A106">
        <v>99</v>
      </c>
      <c r="B106">
        <f t="shared" si="27"/>
        <v>1.7278759594743864</v>
      </c>
      <c r="C106" s="109">
        <f t="shared" si="28"/>
        <v>-151.09114825743805</v>
      </c>
      <c r="D106" s="109">
        <f t="shared" si="29"/>
        <v>-1.5442284817161895</v>
      </c>
      <c r="E106" s="109">
        <f t="shared" si="30"/>
        <v>-6.763753025336106</v>
      </c>
      <c r="F106" s="109">
        <f t="shared" si="31"/>
        <v>-0.15824060273102994</v>
      </c>
      <c r="G106">
        <f t="shared" si="32"/>
        <v>-151.09114825743805</v>
      </c>
      <c r="H106">
        <f t="shared" si="33"/>
        <v>-1.5442284817161895</v>
      </c>
      <c r="I106" s="109">
        <f t="shared" si="34"/>
        <v>-6.763753025336106</v>
      </c>
      <c r="J106" s="109">
        <f t="shared" si="35"/>
        <v>-0.15824060273102994</v>
      </c>
    </row>
    <row r="107" spans="1:10" x14ac:dyDescent="0.25">
      <c r="A107">
        <v>100</v>
      </c>
      <c r="B107">
        <f t="shared" si="27"/>
        <v>1.7453292519943295</v>
      </c>
      <c r="C107" s="109">
        <f t="shared" si="28"/>
        <v>-151.94608818516338</v>
      </c>
      <c r="D107" s="109">
        <f t="shared" si="29"/>
        <v>-1.5744298772739362</v>
      </c>
      <c r="E107" s="109">
        <f t="shared" si="30"/>
        <v>-6.8020253039528527</v>
      </c>
      <c r="F107" s="109">
        <f t="shared" si="31"/>
        <v>-0.16133540838509017</v>
      </c>
      <c r="G107">
        <f t="shared" si="32"/>
        <v>-151.94608818516338</v>
      </c>
      <c r="H107">
        <f t="shared" si="33"/>
        <v>-1.5744298772739362</v>
      </c>
      <c r="I107" s="109">
        <f t="shared" si="34"/>
        <v>-6.8020253039528527</v>
      </c>
      <c r="J107" s="109">
        <f t="shared" si="35"/>
        <v>-0.16133540838509017</v>
      </c>
    </row>
    <row r="108" spans="1:10" x14ac:dyDescent="0.25">
      <c r="A108">
        <v>101</v>
      </c>
      <c r="B108">
        <f t="shared" si="27"/>
        <v>1.7627825445142729</v>
      </c>
      <c r="C108" s="109">
        <f t="shared" si="28"/>
        <v>-152.65485077087175</v>
      </c>
      <c r="D108" s="109">
        <f t="shared" si="29"/>
        <v>-1.6040675035010614</v>
      </c>
      <c r="E108" s="109">
        <f t="shared" si="30"/>
        <v>-6.8337538012117509</v>
      </c>
      <c r="F108" s="109">
        <f t="shared" si="31"/>
        <v>-0.16437244331432885</v>
      </c>
      <c r="G108">
        <f t="shared" si="32"/>
        <v>-152.65485077087175</v>
      </c>
      <c r="H108">
        <f t="shared" si="33"/>
        <v>-1.6040675035010614</v>
      </c>
      <c r="I108" s="109">
        <f t="shared" si="34"/>
        <v>-6.8337538012117509</v>
      </c>
      <c r="J108" s="109">
        <f t="shared" si="35"/>
        <v>-0.16437244331432885</v>
      </c>
    </row>
    <row r="109" spans="1:10" x14ac:dyDescent="0.25">
      <c r="A109">
        <v>102</v>
      </c>
      <c r="B109">
        <f t="shared" si="27"/>
        <v>1.780235837034216</v>
      </c>
      <c r="C109" s="109">
        <f t="shared" si="28"/>
        <v>-153.21468437255913</v>
      </c>
      <c r="D109" s="109">
        <f t="shared" si="29"/>
        <v>-1.6331240131126914</v>
      </c>
      <c r="E109" s="109">
        <f t="shared" si="30"/>
        <v>-6.8588153369851517</v>
      </c>
      <c r="F109" s="109">
        <f t="shared" si="31"/>
        <v>-0.1673499299030326</v>
      </c>
      <c r="G109">
        <f t="shared" si="32"/>
        <v>-153.21468437255913</v>
      </c>
      <c r="H109">
        <f t="shared" si="33"/>
        <v>-1.6331240131126914</v>
      </c>
      <c r="I109" s="109">
        <f t="shared" si="34"/>
        <v>-6.8588153369851517</v>
      </c>
      <c r="J109" s="109">
        <f t="shared" si="35"/>
        <v>-0.1673499299030326</v>
      </c>
    </row>
    <row r="110" spans="1:10" x14ac:dyDescent="0.25">
      <c r="A110">
        <v>103</v>
      </c>
      <c r="B110">
        <f t="shared" si="27"/>
        <v>1.7976891295541593</v>
      </c>
      <c r="C110" s="109">
        <f t="shared" si="28"/>
        <v>-153.62289130179502</v>
      </c>
      <c r="D110" s="109">
        <f t="shared" si="29"/>
        <v>-1.661582264014744</v>
      </c>
      <c r="E110" s="109">
        <f t="shared" si="30"/>
        <v>-6.8770891464334598</v>
      </c>
      <c r="F110" s="109">
        <f t="shared" si="31"/>
        <v>-0.17026611156185484</v>
      </c>
      <c r="G110">
        <f t="shared" si="32"/>
        <v>-153.62289130179502</v>
      </c>
      <c r="H110">
        <f t="shared" si="33"/>
        <v>-1.661582264014744</v>
      </c>
      <c r="I110" s="109">
        <f t="shared" si="34"/>
        <v>-6.8770891464334598</v>
      </c>
      <c r="J110" s="109">
        <f t="shared" si="35"/>
        <v>-0.17026611156185484</v>
      </c>
    </row>
    <row r="111" spans="1:10" x14ac:dyDescent="0.25">
      <c r="A111">
        <v>104</v>
      </c>
      <c r="B111">
        <f t="shared" si="27"/>
        <v>1.8151424220741028</v>
      </c>
      <c r="C111" s="109">
        <f t="shared" si="28"/>
        <v>-153.8768294152606</v>
      </c>
      <c r="D111" s="109">
        <f t="shared" si="29"/>
        <v>-1.6894253270511552</v>
      </c>
      <c r="E111" s="109">
        <f t="shared" si="30"/>
        <v>-6.8884569512520075</v>
      </c>
      <c r="F111" s="109">
        <f t="shared" si="31"/>
        <v>-0.17311925352169177</v>
      </c>
      <c r="G111">
        <f t="shared" si="32"/>
        <v>-153.8768294152606</v>
      </c>
      <c r="H111">
        <f t="shared" si="33"/>
        <v>-1.6894253270511552</v>
      </c>
      <c r="I111" s="109">
        <f t="shared" si="34"/>
        <v>-6.8884569512520075</v>
      </c>
      <c r="J111" s="109">
        <f t="shared" si="35"/>
        <v>-0.17311925352169177</v>
      </c>
    </row>
    <row r="112" spans="1:10" x14ac:dyDescent="0.25">
      <c r="A112">
        <v>105</v>
      </c>
      <c r="B112">
        <f t="shared" si="27"/>
        <v>1.8325957145940461</v>
      </c>
      <c r="C112" s="109">
        <f t="shared" si="28"/>
        <v>-153.97391368651748</v>
      </c>
      <c r="D112" s="109">
        <f t="shared" si="29"/>
        <v>-1.7166364936768912</v>
      </c>
      <c r="E112" s="109">
        <f t="shared" si="30"/>
        <v>-6.8928030300329262</v>
      </c>
      <c r="F112" s="109">
        <f t="shared" si="31"/>
        <v>-0.17590764361995337</v>
      </c>
      <c r="G112">
        <f t="shared" si="32"/>
        <v>-153.97391368651748</v>
      </c>
      <c r="H112">
        <f t="shared" si="33"/>
        <v>-1.7166364936768912</v>
      </c>
      <c r="I112" s="109">
        <f t="shared" si="34"/>
        <v>-6.8928030300329262</v>
      </c>
      <c r="J112" s="109">
        <f t="shared" si="35"/>
        <v>-0.17590764361995337</v>
      </c>
    </row>
    <row r="113" spans="1:10" x14ac:dyDescent="0.25">
      <c r="A113">
        <v>106</v>
      </c>
      <c r="B113">
        <f t="shared" si="27"/>
        <v>1.8500490071139892</v>
      </c>
      <c r="C113" s="109">
        <f t="shared" si="28"/>
        <v>-153.91161775729361</v>
      </c>
      <c r="D113" s="109">
        <f t="shared" si="29"/>
        <v>-1.743199283553643</v>
      </c>
      <c r="E113" s="109">
        <f t="shared" si="30"/>
        <v>-6.8900142877100725</v>
      </c>
      <c r="F113" s="109">
        <f t="shared" si="31"/>
        <v>-0.17862959307891138</v>
      </c>
      <c r="G113">
        <f t="shared" si="32"/>
        <v>-153.91161775729361</v>
      </c>
      <c r="H113">
        <f t="shared" si="33"/>
        <v>-1.743199283553643</v>
      </c>
      <c r="I113" s="109">
        <f t="shared" si="34"/>
        <v>-6.8900142877100725</v>
      </c>
      <c r="J113" s="109">
        <f t="shared" si="35"/>
        <v>-0.17862959307891138</v>
      </c>
    </row>
    <row r="114" spans="1:10" x14ac:dyDescent="0.25">
      <c r="A114">
        <v>107</v>
      </c>
      <c r="B114">
        <f t="shared" si="27"/>
        <v>1.8675022996339325</v>
      </c>
      <c r="C114" s="109">
        <f t="shared" si="28"/>
        <v>-153.68747546758203</v>
      </c>
      <c r="D114" s="109">
        <f t="shared" si="29"/>
        <v>-1.7690974520651233</v>
      </c>
      <c r="E114" s="109">
        <f t="shared" si="30"/>
        <v>-6.8799803240555022</v>
      </c>
      <c r="F114" s="109">
        <f t="shared" si="31"/>
        <v>-0.18128343727580892</v>
      </c>
      <c r="G114">
        <f t="shared" si="32"/>
        <v>-153.68747546758203</v>
      </c>
      <c r="H114">
        <f t="shared" si="33"/>
        <v>-1.7690974520651233</v>
      </c>
      <c r="I114" s="109">
        <f t="shared" si="34"/>
        <v>-6.8799803240555022</v>
      </c>
      <c r="J114" s="109">
        <f t="shared" si="35"/>
        <v>-0.18128343727580892</v>
      </c>
    </row>
    <row r="115" spans="1:10" x14ac:dyDescent="0.25">
      <c r="A115">
        <v>108</v>
      </c>
      <c r="B115">
        <f t="shared" si="27"/>
        <v>1.8849555921538759</v>
      </c>
      <c r="C115" s="109">
        <f t="shared" si="28"/>
        <v>-153.29908236385293</v>
      </c>
      <c r="D115" s="109">
        <f t="shared" si="29"/>
        <v>-1.7943149977489177</v>
      </c>
      <c r="E115" s="109">
        <f t="shared" si="30"/>
        <v>-6.8625935011961561</v>
      </c>
      <c r="F115" s="109">
        <f t="shared" si="31"/>
        <v>-0.18386753650441925</v>
      </c>
      <c r="G115">
        <f t="shared" si="32"/>
        <v>-153.29908236385293</v>
      </c>
      <c r="H115">
        <f t="shared" si="33"/>
        <v>-1.7943149977489177</v>
      </c>
      <c r="I115" s="109">
        <f t="shared" si="34"/>
        <v>-6.8625935011961561</v>
      </c>
      <c r="J115" s="109">
        <f t="shared" si="35"/>
        <v>-0.18386753650441925</v>
      </c>
    </row>
    <row r="116" spans="1:10" x14ac:dyDescent="0.25">
      <c r="A116">
        <v>109</v>
      </c>
      <c r="B116">
        <f t="shared" si="27"/>
        <v>1.902408884673819</v>
      </c>
      <c r="C116" s="109">
        <f t="shared" si="28"/>
        <v>-152.74409718469096</v>
      </c>
      <c r="D116" s="109">
        <f t="shared" si="29"/>
        <v>-1.8188361696418707</v>
      </c>
      <c r="E116" s="109">
        <f t="shared" si="30"/>
        <v>-6.8377490101199632</v>
      </c>
      <c r="F116" s="109">
        <f t="shared" si="31"/>
        <v>-0.18638027672774404</v>
      </c>
      <c r="G116">
        <f t="shared" si="32"/>
        <v>-152.74409718469096</v>
      </c>
      <c r="H116">
        <f t="shared" si="33"/>
        <v>-1.8188361696418707</v>
      </c>
      <c r="I116" s="109">
        <f t="shared" si="34"/>
        <v>-6.8377490101199632</v>
      </c>
      <c r="J116" s="109">
        <f t="shared" si="35"/>
        <v>-0.18638027672774404</v>
      </c>
    </row>
    <row r="117" spans="1:10" x14ac:dyDescent="0.25">
      <c r="A117">
        <v>110</v>
      </c>
      <c r="B117">
        <f t="shared" si="27"/>
        <v>1.9198621771937625</v>
      </c>
      <c r="C117" s="109">
        <f t="shared" si="28"/>
        <v>-152.02024332317549</v>
      </c>
      <c r="D117" s="109">
        <f t="shared" si="29"/>
        <v>-1.842645474536017</v>
      </c>
      <c r="E117" s="109">
        <f t="shared" si="30"/>
        <v>-6.8053449361408287</v>
      </c>
      <c r="F117" s="109">
        <f t="shared" si="31"/>
        <v>-0.1888200703215453</v>
      </c>
      <c r="G117">
        <f t="shared" si="32"/>
        <v>-152.02024332317549</v>
      </c>
      <c r="H117">
        <f t="shared" si="33"/>
        <v>-1.842645474536017</v>
      </c>
      <c r="I117" s="109">
        <f t="shared" si="34"/>
        <v>-6.8053449361408287</v>
      </c>
      <c r="J117" s="109">
        <f t="shared" si="35"/>
        <v>-0.1888200703215453</v>
      </c>
    </row>
    <row r="118" spans="1:10" x14ac:dyDescent="0.25">
      <c r="A118">
        <v>111</v>
      </c>
      <c r="B118">
        <f t="shared" si="27"/>
        <v>1.9373154697137058</v>
      </c>
      <c r="C118" s="109">
        <f t="shared" si="28"/>
        <v>-151.12531026532812</v>
      </c>
      <c r="D118" s="109">
        <f t="shared" si="29"/>
        <v>-1.8657276841420933</v>
      </c>
      <c r="E118" s="109">
        <f t="shared" si="30"/>
        <v>-6.7652823232922268</v>
      </c>
      <c r="F118" s="109">
        <f t="shared" si="31"/>
        <v>-0.19118535680840651</v>
      </c>
      <c r="G118">
        <f t="shared" si="32"/>
        <v>-151.12531026532812</v>
      </c>
      <c r="H118">
        <f t="shared" si="33"/>
        <v>-1.8657276841420933</v>
      </c>
      <c r="I118" s="109">
        <f t="shared" si="34"/>
        <v>-6.7652823232922268</v>
      </c>
      <c r="J118" s="109">
        <f t="shared" si="35"/>
        <v>-0.19118535680840651</v>
      </c>
    </row>
    <row r="119" spans="1:10" x14ac:dyDescent="0.25">
      <c r="A119">
        <v>112</v>
      </c>
      <c r="B119">
        <f t="shared" si="27"/>
        <v>1.9547687622336491</v>
      </c>
      <c r="C119" s="109">
        <f t="shared" si="28"/>
        <v>-150.05715500396602</v>
      </c>
      <c r="D119" s="109">
        <f t="shared" si="29"/>
        <v>-1.8880678421577159</v>
      </c>
      <c r="E119" s="109">
        <f t="shared" si="30"/>
        <v>-6.7174652376198303</v>
      </c>
      <c r="F119" s="109">
        <f t="shared" si="31"/>
        <v>-0.19347460358202498</v>
      </c>
      <c r="G119">
        <f t="shared" si="32"/>
        <v>-150.05715500396602</v>
      </c>
      <c r="H119">
        <f t="shared" si="33"/>
        <v>-1.8880678421577159</v>
      </c>
      <c r="I119" s="109">
        <f t="shared" si="34"/>
        <v>-6.7174652376198303</v>
      </c>
      <c r="J119" s="109">
        <f t="shared" si="35"/>
        <v>-0.19347460358202498</v>
      </c>
    </row>
    <row r="120" spans="1:10" x14ac:dyDescent="0.25">
      <c r="A120">
        <v>113</v>
      </c>
      <c r="B120">
        <f t="shared" si="27"/>
        <v>1.9722220547535922</v>
      </c>
      <c r="C120" s="109">
        <f t="shared" si="28"/>
        <v>-148.81370342730034</v>
      </c>
      <c r="D120" s="109">
        <f t="shared" si="29"/>
        <v>-1.9096512712373157</v>
      </c>
      <c r="E120" s="109">
        <f t="shared" si="30"/>
        <v>-6.6618008293435675</v>
      </c>
      <c r="F120" s="109">
        <f t="shared" si="31"/>
        <v>-0.19568630662143702</v>
      </c>
      <c r="G120">
        <f t="shared" si="32"/>
        <v>-148.81370342730034</v>
      </c>
      <c r="H120">
        <f t="shared" si="33"/>
        <v>-1.9096512712373157</v>
      </c>
      <c r="I120" s="109">
        <f t="shared" si="34"/>
        <v>-6.6618008293435675</v>
      </c>
      <c r="J120" s="109">
        <f t="shared" si="35"/>
        <v>-0.19568630662143702</v>
      </c>
    </row>
    <row r="121" spans="1:10" x14ac:dyDescent="0.25">
      <c r="A121">
        <v>114</v>
      </c>
      <c r="B121">
        <f t="shared" si="27"/>
        <v>1.9896753472735356</v>
      </c>
      <c r="C121" s="109">
        <f t="shared" si="28"/>
        <v>-147.39295168163758</v>
      </c>
      <c r="D121" s="109">
        <f t="shared" si="29"/>
        <v>-1.9304635798609868</v>
      </c>
      <c r="E121" s="109">
        <f t="shared" si="30"/>
        <v>-6.5981993938603685</v>
      </c>
      <c r="F121" s="109">
        <f t="shared" si="31"/>
        <v>-0.19781899119488422</v>
      </c>
      <c r="G121">
        <f t="shared" si="32"/>
        <v>-147.39295168163758</v>
      </c>
      <c r="H121">
        <f t="shared" si="33"/>
        <v>-1.9304635798609868</v>
      </c>
      <c r="I121" s="109">
        <f t="shared" si="34"/>
        <v>-6.5981993938603685</v>
      </c>
      <c r="J121" s="109">
        <f t="shared" si="35"/>
        <v>-0.19781899119488422</v>
      </c>
    </row>
    <row r="122" spans="1:10" x14ac:dyDescent="0.25">
      <c r="A122">
        <v>115</v>
      </c>
      <c r="B122">
        <f t="shared" si="27"/>
        <v>2.0071286397934789</v>
      </c>
      <c r="C122" s="109">
        <f t="shared" si="28"/>
        <v>-145.79296750754142</v>
      </c>
      <c r="D122" s="109">
        <f t="shared" si="29"/>
        <v>-1.9504906690994148</v>
      </c>
      <c r="E122" s="109">
        <f t="shared" si="30"/>
        <v>-6.5265744315588456</v>
      </c>
      <c r="F122" s="109">
        <f t="shared" si="31"/>
        <v>-0.19987121255303131</v>
      </c>
      <c r="G122">
        <f t="shared" si="32"/>
        <v>-145.79296750754142</v>
      </c>
      <c r="H122">
        <f t="shared" si="33"/>
        <v>-1.9504906690994148</v>
      </c>
      <c r="I122" s="109">
        <f t="shared" si="34"/>
        <v>-6.5265744315588456</v>
      </c>
      <c r="J122" s="109">
        <f t="shared" si="35"/>
        <v>-0.19987121255303131</v>
      </c>
    </row>
    <row r="123" spans="1:10" x14ac:dyDescent="0.25">
      <c r="A123">
        <v>116</v>
      </c>
      <c r="B123">
        <f t="shared" si="27"/>
        <v>2.0245819323134224</v>
      </c>
      <c r="C123" s="109">
        <f t="shared" si="28"/>
        <v>-144.01189154883036</v>
      </c>
      <c r="D123" s="109">
        <f t="shared" si="29"/>
        <v>-1.9697187392721047</v>
      </c>
      <c r="E123" s="109">
        <f t="shared" si="30"/>
        <v>-6.446842706417943</v>
      </c>
      <c r="F123" s="109">
        <f t="shared" si="31"/>
        <v>-0.20184155661124961</v>
      </c>
      <c r="G123">
        <f t="shared" si="32"/>
        <v>-144.01189154883036</v>
      </c>
      <c r="H123">
        <f t="shared" si="33"/>
        <v>-1.9697187392721047</v>
      </c>
      <c r="I123" s="109">
        <f t="shared" si="34"/>
        <v>-6.446842706417943</v>
      </c>
      <c r="J123" s="109">
        <f t="shared" si="35"/>
        <v>-0.20184155661124961</v>
      </c>
    </row>
    <row r="124" spans="1:10" x14ac:dyDescent="0.25">
      <c r="A124">
        <v>117</v>
      </c>
      <c r="B124">
        <f t="shared" si="27"/>
        <v>2.0420352248333655</v>
      </c>
      <c r="C124" s="109">
        <f t="shared" si="28"/>
        <v>-142.0479386337912</v>
      </c>
      <c r="D124" s="109">
        <f t="shared" si="29"/>
        <v>-1.9881342964961584</v>
      </c>
      <c r="E124" s="109">
        <f t="shared" si="30"/>
        <v>-6.3589243033617944</v>
      </c>
      <c r="F124" s="109">
        <f t="shared" si="31"/>
        <v>-0.20372864062068546</v>
      </c>
      <c r="G124">
        <f t="shared" si="32"/>
        <v>-142.0479386337912</v>
      </c>
      <c r="H124">
        <f t="shared" si="33"/>
        <v>-1.9881342964961584</v>
      </c>
      <c r="I124" s="109">
        <f t="shared" si="34"/>
        <v>-6.3589243033617944</v>
      </c>
      <c r="J124" s="109">
        <f t="shared" si="35"/>
        <v>-0.20372864062068546</v>
      </c>
    </row>
    <row r="125" spans="1:10" x14ac:dyDescent="0.25">
      <c r="A125">
        <v>118</v>
      </c>
      <c r="B125">
        <f t="shared" si="27"/>
        <v>2.0594885173533086</v>
      </c>
      <c r="C125" s="109">
        <f t="shared" si="28"/>
        <v>-139.89939902800114</v>
      </c>
      <c r="D125" s="109">
        <f t="shared" si="29"/>
        <v>-2.0057241591228956</v>
      </c>
      <c r="E125" s="109">
        <f t="shared" si="30"/>
        <v>-6.2627426843436087</v>
      </c>
      <c r="F125" s="109">
        <f t="shared" si="31"/>
        <v>-0.20553111382783518</v>
      </c>
      <c r="G125">
        <f t="shared" si="32"/>
        <v>-139.89939902800114</v>
      </c>
      <c r="H125">
        <f t="shared" si="33"/>
        <v>-2.0057241591228956</v>
      </c>
      <c r="I125" s="109">
        <f t="shared" si="34"/>
        <v>-6.2627426843436087</v>
      </c>
      <c r="J125" s="109">
        <f t="shared" si="35"/>
        <v>-0.20553111382783518</v>
      </c>
    </row>
    <row r="126" spans="1:10" x14ac:dyDescent="0.25">
      <c r="A126">
        <v>119</v>
      </c>
      <c r="B126">
        <f t="shared" si="27"/>
        <v>2.0769418098732522</v>
      </c>
      <c r="C126" s="109">
        <f t="shared" si="28"/>
        <v>-137.5646396581605</v>
      </c>
      <c r="D126" s="109">
        <f t="shared" si="29"/>
        <v>-2.0224754640596427</v>
      </c>
      <c r="E126" s="109">
        <f t="shared" si="30"/>
        <v>-6.1582247431318278</v>
      </c>
      <c r="F126" s="109">
        <f t="shared" si="31"/>
        <v>-0.20724765812235318</v>
      </c>
      <c r="G126">
        <f t="shared" si="32"/>
        <v>-137.5646396581605</v>
      </c>
      <c r="H126">
        <f t="shared" si="33"/>
        <v>-2.0224754640596427</v>
      </c>
      <c r="I126" s="109">
        <f t="shared" si="34"/>
        <v>-6.1582247431318278</v>
      </c>
      <c r="J126" s="109">
        <f t="shared" si="35"/>
        <v>-0.20724765812235318</v>
      </c>
    </row>
    <row r="127" spans="1:10" x14ac:dyDescent="0.25">
      <c r="A127">
        <v>120</v>
      </c>
      <c r="B127">
        <f t="shared" si="27"/>
        <v>2.0943951023931953</v>
      </c>
      <c r="C127" s="109">
        <f t="shared" si="28"/>
        <v>-135.0421053063493</v>
      </c>
      <c r="D127" s="109">
        <f t="shared" si="29"/>
        <v>-2.0383756729740643</v>
      </c>
      <c r="E127" s="109">
        <f t="shared" si="30"/>
        <v>-6.0453008587722596</v>
      </c>
      <c r="F127" s="109">
        <f t="shared" si="31"/>
        <v>-0.20887698867282403</v>
      </c>
      <c r="G127">
        <f t="shared" si="32"/>
        <v>-135.0421053063493</v>
      </c>
      <c r="H127">
        <f t="shared" si="33"/>
        <v>-2.0383756729740643</v>
      </c>
      <c r="I127" s="109">
        <f t="shared" si="34"/>
        <v>-6.0453008587722596</v>
      </c>
      <c r="J127" s="109">
        <f t="shared" si="35"/>
        <v>-0.20887698867282403</v>
      </c>
    </row>
    <row r="128" spans="1:10" x14ac:dyDescent="0.25">
      <c r="A128">
        <v>121</v>
      </c>
      <c r="B128">
        <f t="shared" si="27"/>
        <v>2.1118483949131388</v>
      </c>
      <c r="C128" s="109">
        <f t="shared" si="28"/>
        <v>-132.33031977413174</v>
      </c>
      <c r="D128" s="109">
        <f t="shared" si="29"/>
        <v>-2.0534125783784591</v>
      </c>
      <c r="E128" s="109">
        <f t="shared" si="30"/>
        <v>-5.9239049477004393</v>
      </c>
      <c r="F128" s="109">
        <f t="shared" si="31"/>
        <v>-0.2104178545502339</v>
      </c>
      <c r="G128">
        <f t="shared" si="32"/>
        <v>-132.33031977413174</v>
      </c>
      <c r="H128">
        <f t="shared" si="33"/>
        <v>-2.0534125783784591</v>
      </c>
      <c r="I128" s="109">
        <f t="shared" si="34"/>
        <v>-5.9239049477004393</v>
      </c>
      <c r="J128" s="109">
        <f t="shared" si="35"/>
        <v>-0.2104178545502339</v>
      </c>
    </row>
    <row r="129" spans="1:10" x14ac:dyDescent="0.25">
      <c r="A129">
        <v>122</v>
      </c>
      <c r="B129">
        <f t="shared" si="27"/>
        <v>2.1293016874330819</v>
      </c>
      <c r="C129" s="109">
        <f t="shared" si="28"/>
        <v>-129.42788701594299</v>
      </c>
      <c r="D129" s="109">
        <f t="shared" si="29"/>
        <v>-2.0675743095914578</v>
      </c>
      <c r="E129" s="109">
        <f t="shared" si="30"/>
        <v>-5.7939745144788661</v>
      </c>
      <c r="F129" s="109">
        <f t="shared" si="31"/>
        <v>-0.21186903933887943</v>
      </c>
      <c r="G129">
        <f t="shared" si="32"/>
        <v>-129.42788701594299</v>
      </c>
      <c r="H129">
        <f t="shared" si="33"/>
        <v>-2.0675743095914578</v>
      </c>
      <c r="I129" s="109">
        <f t="shared" si="34"/>
        <v>-5.7939745144788661</v>
      </c>
      <c r="J129" s="109">
        <f t="shared" si="35"/>
        <v>-0.21186903933887943</v>
      </c>
    </row>
    <row r="130" spans="1:10" x14ac:dyDescent="0.25">
      <c r="A130">
        <v>123</v>
      </c>
      <c r="B130">
        <f t="shared" si="27"/>
        <v>2.1467549799530254</v>
      </c>
      <c r="C130" s="109">
        <f t="shared" si="28"/>
        <v>-126.33349224120627</v>
      </c>
      <c r="D130" s="109">
        <f t="shared" si="29"/>
        <v>-2.080849338574648</v>
      </c>
      <c r="E130" s="109">
        <f t="shared" si="30"/>
        <v>-5.6554507011344324</v>
      </c>
      <c r="F130" s="109">
        <f t="shared" si="31"/>
        <v>-0.21322936173446</v>
      </c>
      <c r="G130">
        <f t="shared" si="32"/>
        <v>-126.33349224120627</v>
      </c>
      <c r="H130">
        <f t="shared" si="33"/>
        <v>-2.080849338574648</v>
      </c>
      <c r="I130" s="109">
        <f t="shared" si="34"/>
        <v>-5.6554507011344324</v>
      </c>
      <c r="J130" s="109">
        <f t="shared" si="35"/>
        <v>-0.21322936173446</v>
      </c>
    </row>
    <row r="131" spans="1:10" x14ac:dyDescent="0.25">
      <c r="A131">
        <v>124</v>
      </c>
      <c r="B131">
        <f t="shared" si="27"/>
        <v>2.1642082724729685</v>
      </c>
      <c r="C131" s="109">
        <f t="shared" si="28"/>
        <v>-123.04590298463711</v>
      </c>
      <c r="D131" s="109">
        <f t="shared" si="29"/>
        <v>-2.0932264856416491</v>
      </c>
      <c r="E131" s="109">
        <f t="shared" si="30"/>
        <v>-5.5082783350716999</v>
      </c>
      <c r="F131" s="109">
        <f t="shared" si="31"/>
        <v>-0.21449767612909945</v>
      </c>
      <c r="G131">
        <f t="shared" si="32"/>
        <v>-123.04590298463711</v>
      </c>
      <c r="H131">
        <f t="shared" si="33"/>
        <v>-2.0932264856416491</v>
      </c>
      <c r="I131" s="109">
        <f t="shared" si="34"/>
        <v>-5.5082783350716999</v>
      </c>
      <c r="J131" s="109">
        <f t="shared" si="35"/>
        <v>-0.21449767612909945</v>
      </c>
    </row>
    <row r="132" spans="1:10" x14ac:dyDescent="0.25">
      <c r="A132">
        <v>125</v>
      </c>
      <c r="B132">
        <f t="shared" si="27"/>
        <v>2.1816615649929116</v>
      </c>
      <c r="C132" s="109">
        <f t="shared" si="28"/>
        <v>-119.56397014420401</v>
      </c>
      <c r="D132" s="109">
        <f t="shared" si="29"/>
        <v>-2.1046949250372444</v>
      </c>
      <c r="E132" s="109">
        <f t="shared" si="30"/>
        <v>-5.3524059755383071</v>
      </c>
      <c r="F132" s="109">
        <f t="shared" si="31"/>
        <v>-0.21567287318305253</v>
      </c>
      <c r="G132">
        <f t="shared" si="32"/>
        <v>-119.56397014420401</v>
      </c>
      <c r="H132">
        <f t="shared" si="33"/>
        <v>-2.1046949250372444</v>
      </c>
      <c r="I132" s="109">
        <f t="shared" si="34"/>
        <v>-5.3524059755383071</v>
      </c>
      <c r="J132" s="109">
        <f t="shared" si="35"/>
        <v>-0.21567287318305253</v>
      </c>
    </row>
    <row r="133" spans="1:10" x14ac:dyDescent="0.25">
      <c r="A133">
        <v>126</v>
      </c>
      <c r="B133">
        <f t="shared" si="27"/>
        <v>2.1991148575128552</v>
      </c>
      <c r="C133" s="109">
        <f t="shared" si="28"/>
        <v>-115.88662898623028</v>
      </c>
      <c r="D133" s="109">
        <f t="shared" si="29"/>
        <v>-2.115244190384201</v>
      </c>
      <c r="E133" s="109">
        <f t="shared" si="30"/>
        <v>-5.1877859586193917</v>
      </c>
      <c r="F133" s="109">
        <f t="shared" si="31"/>
        <v>-0.21675388038285287</v>
      </c>
      <c r="G133">
        <f t="shared" si="32"/>
        <v>-115.88662898623028</v>
      </c>
      <c r="H133">
        <f t="shared" si="33"/>
        <v>-2.115244190384201</v>
      </c>
      <c r="I133" s="109">
        <f t="shared" si="34"/>
        <v>-5.1877859586193917</v>
      </c>
      <c r="J133" s="109">
        <f t="shared" si="35"/>
        <v>-0.21675388038285287</v>
      </c>
    </row>
    <row r="134" spans="1:10" x14ac:dyDescent="0.25">
      <c r="A134">
        <v>127</v>
      </c>
      <c r="B134">
        <f t="shared" si="27"/>
        <v>2.2165681500327987</v>
      </c>
      <c r="C134" s="109">
        <f t="shared" si="28"/>
        <v>-112.01290011712837</v>
      </c>
      <c r="D134" s="109">
        <f t="shared" si="29"/>
        <v>-2.1248641799954679</v>
      </c>
      <c r="E134" s="109">
        <f t="shared" si="30"/>
        <v>-5.0143744407382966</v>
      </c>
      <c r="F134" s="109">
        <f t="shared" si="31"/>
        <v>-0.21773966258566613</v>
      </c>
      <c r="G134">
        <f t="shared" si="32"/>
        <v>-112.01290011712837</v>
      </c>
      <c r="H134">
        <f t="shared" si="33"/>
        <v>-2.1248641799954679</v>
      </c>
      <c r="I134" s="109">
        <f t="shared" si="34"/>
        <v>-5.0143744407382966</v>
      </c>
      <c r="J134" s="109">
        <f t="shared" si="35"/>
        <v>-0.21773966258566613</v>
      </c>
    </row>
    <row r="135" spans="1:10" x14ac:dyDescent="0.25">
      <c r="A135">
        <v>128</v>
      </c>
      <c r="B135">
        <f t="shared" ref="B135:B166" si="36">A135*PI()/180</f>
        <v>2.2340214425527418</v>
      </c>
      <c r="C135" s="109">
        <f t="shared" ref="C135:C166" si="37">(0.0796*FA_SUS*D*0.5)-(0.238*FA_SUS*D*0.5*(1-COS(B135)))+(FA_SUS*0.5*D/PI())*(1-COS(B135)-B135*SIN(B135)*0.5)</f>
        <v>-107.94189042127545</v>
      </c>
      <c r="D135" s="109">
        <f t="shared" ref="D135:D166" si="38">0.238*FA_SUS*COS(B135)-(FA_SUS/(2*PI()))*B135*SIN(B135)</f>
        <v>-2.1335451620494839</v>
      </c>
      <c r="E135" s="109">
        <f t="shared" ref="E135:E166" si="39">0.000001*C135/Z_BareRoark</f>
        <v>-4.8321314406415503</v>
      </c>
      <c r="F135" s="109">
        <f t="shared" ref="F135:F166" si="40">D135*1000/(beff_Bare_Roark*Tnet_Bare_Roark)</f>
        <v>-0.21862922254961525</v>
      </c>
      <c r="G135">
        <f t="shared" ref="G135:G166" si="41">(0.0796*FA_EXP*D*0.5)-(0.238*FA_EXP*D*0.5*(1-COS(B135)))+(FA_EXP*0.5*D/PI())*(1-COS(B135)-B135*SIN(B135)*0.5)</f>
        <v>-107.94189042127545</v>
      </c>
      <c r="H135">
        <f t="shared" ref="H135:H166" si="42">0.238*FA_EXP*COS(B135)-(FA_EXP/(2*PI()))*B135*SIN(B135)</f>
        <v>-2.1335451620494839</v>
      </c>
      <c r="I135" s="109">
        <f t="shared" ref="I135:I166" si="43">0.000001*G135/Z_BareRoark</f>
        <v>-4.8321314406415503</v>
      </c>
      <c r="J135" s="109">
        <f t="shared" ref="J135:J166" si="44">H135*1000/(beff_Bare_Roark*Tnet_Bare_Roark)</f>
        <v>-0.21862922254961525</v>
      </c>
    </row>
    <row r="136" spans="1:10" x14ac:dyDescent="0.25">
      <c r="A136">
        <v>129</v>
      </c>
      <c r="B136">
        <f t="shared" si="36"/>
        <v>2.2514747350726849</v>
      </c>
      <c r="C136" s="109">
        <f t="shared" si="37"/>
        <v>-103.67279396454774</v>
      </c>
      <c r="D136" s="109">
        <f t="shared" si="38"/>
        <v>-2.1412777796263791</v>
      </c>
      <c r="E136" s="109">
        <f t="shared" si="39"/>
        <v>-4.6410208798465229</v>
      </c>
      <c r="F136" s="109">
        <f t="shared" si="40"/>
        <v>-0.21942160144985198</v>
      </c>
      <c r="G136">
        <f t="shared" si="41"/>
        <v>-103.67279396454774</v>
      </c>
      <c r="H136">
        <f t="shared" si="42"/>
        <v>-2.1412777796263791</v>
      </c>
      <c r="I136" s="109">
        <f t="shared" si="43"/>
        <v>-4.6410208798465229</v>
      </c>
      <c r="J136" s="109">
        <f t="shared" si="44"/>
        <v>-0.21942160144985198</v>
      </c>
    </row>
    <row r="137" spans="1:10" x14ac:dyDescent="0.25">
      <c r="A137">
        <v>130</v>
      </c>
      <c r="B137">
        <f t="shared" si="36"/>
        <v>2.2689280275926285</v>
      </c>
      <c r="C137" s="109">
        <f t="shared" si="37"/>
        <v>-99.204892863049395</v>
      </c>
      <c r="D137" s="109">
        <f t="shared" si="38"/>
        <v>-2.1480530556029143</v>
      </c>
      <c r="E137" s="109">
        <f t="shared" si="39"/>
        <v>-4.4410106215309817</v>
      </c>
      <c r="F137" s="109">
        <f t="shared" si="40"/>
        <v>-0.22011587938015184</v>
      </c>
      <c r="G137">
        <f t="shared" si="41"/>
        <v>-99.204892863049395</v>
      </c>
      <c r="H137">
        <f t="shared" si="42"/>
        <v>-2.1480530556029143</v>
      </c>
      <c r="I137" s="109">
        <f t="shared" si="43"/>
        <v>-4.4410106215309817</v>
      </c>
      <c r="J137" s="109">
        <f t="shared" si="44"/>
        <v>-0.22011587938015184</v>
      </c>
    </row>
    <row r="138" spans="1:10" x14ac:dyDescent="0.25">
      <c r="A138">
        <v>131</v>
      </c>
      <c r="B138">
        <f t="shared" si="36"/>
        <v>2.286381320112572</v>
      </c>
      <c r="C138" s="109">
        <f t="shared" si="37"/>
        <v>-94.537558116577202</v>
      </c>
      <c r="D138" s="109">
        <f t="shared" si="38"/>
        <v>-2.153862397404025</v>
      </c>
      <c r="E138" s="109">
        <f t="shared" si="39"/>
        <v>-4.23207250784401</v>
      </c>
      <c r="F138" s="109">
        <f t="shared" si="40"/>
        <v>-0.22071117583981609</v>
      </c>
      <c r="G138">
        <f t="shared" si="41"/>
        <v>-94.537558116577202</v>
      </c>
      <c r="H138">
        <f t="shared" si="42"/>
        <v>-2.153862397404025</v>
      </c>
      <c r="I138" s="109">
        <f t="shared" si="43"/>
        <v>-4.23207250784401</v>
      </c>
      <c r="J138" s="109">
        <f t="shared" si="44"/>
        <v>-0.22071117583981609</v>
      </c>
    </row>
    <row r="139" spans="1:10" x14ac:dyDescent="0.25">
      <c r="A139">
        <v>132</v>
      </c>
      <c r="B139">
        <f t="shared" si="36"/>
        <v>2.3038346126325151</v>
      </c>
      <c r="C139" s="109">
        <f t="shared" si="37"/>
        <v>-89.670250406384298</v>
      </c>
      <c r="D139" s="109">
        <f t="shared" si="38"/>
        <v>-2.1586976016089308</v>
      </c>
      <c r="E139" s="109">
        <f t="shared" si="39"/>
        <v>-4.0141823956187341</v>
      </c>
      <c r="F139" s="109">
        <f t="shared" si="40"/>
        <v>-0.22120665020566999</v>
      </c>
      <c r="G139">
        <f t="shared" si="41"/>
        <v>-89.670250406384298</v>
      </c>
      <c r="H139">
        <f t="shared" si="42"/>
        <v>-2.1586976016089308</v>
      </c>
      <c r="I139" s="109">
        <f t="shared" si="43"/>
        <v>-4.0141823956187341</v>
      </c>
      <c r="J139" s="109">
        <f t="shared" si="44"/>
        <v>-0.22120665020566999</v>
      </c>
    </row>
    <row r="140" spans="1:10" x14ac:dyDescent="0.25">
      <c r="A140">
        <v>133</v>
      </c>
      <c r="B140">
        <f t="shared" si="36"/>
        <v>2.3212879051524582</v>
      </c>
      <c r="C140" s="109">
        <f t="shared" si="37"/>
        <v>-84.602520856810258</v>
      </c>
      <c r="D140" s="109">
        <f t="shared" si="38"/>
        <v>-2.1625508584097854</v>
      </c>
      <c r="E140" s="109">
        <f t="shared" si="39"/>
        <v>-3.7873201904674856</v>
      </c>
      <c r="F140" s="109">
        <f t="shared" si="40"/>
        <v>-0.22160150218895103</v>
      </c>
      <c r="G140">
        <f t="shared" si="41"/>
        <v>-84.602520856810258</v>
      </c>
      <c r="H140">
        <f t="shared" si="42"/>
        <v>-2.1625508584097854</v>
      </c>
      <c r="I140" s="109">
        <f t="shared" si="43"/>
        <v>-3.7873201904674856</v>
      </c>
      <c r="J140" s="109">
        <f t="shared" si="44"/>
        <v>-0.22160150218895103</v>
      </c>
    </row>
    <row r="141" spans="1:10" x14ac:dyDescent="0.25">
      <c r="A141">
        <v>134</v>
      </c>
      <c r="B141">
        <f t="shared" si="36"/>
        <v>2.3387411976724013</v>
      </c>
      <c r="C141" s="109">
        <f t="shared" si="37"/>
        <v>-79.334011760369606</v>
      </c>
      <c r="D141" s="109">
        <f t="shared" si="38"/>
        <v>-2.1654147559209185</v>
      </c>
      <c r="E141" s="109">
        <f t="shared" si="39"/>
        <v>-3.5514698792411492</v>
      </c>
      <c r="F141" s="109">
        <f t="shared" si="40"/>
        <v>-0.22189497227688643</v>
      </c>
      <c r="G141">
        <f t="shared" si="41"/>
        <v>-79.334011760369606</v>
      </c>
      <c r="H141">
        <f t="shared" si="42"/>
        <v>-2.1654147559209185</v>
      </c>
      <c r="I141" s="109">
        <f t="shared" si="43"/>
        <v>-3.5514698792411492</v>
      </c>
      <c r="J141" s="109">
        <f t="shared" si="44"/>
        <v>-0.22189497227688643</v>
      </c>
    </row>
    <row r="142" spans="1:10" x14ac:dyDescent="0.25">
      <c r="A142">
        <v>135</v>
      </c>
      <c r="B142">
        <f t="shared" si="36"/>
        <v>2.3561944901923448</v>
      </c>
      <c r="C142" s="109">
        <f t="shared" si="37"/>
        <v>-73.864457265892497</v>
      </c>
      <c r="D142" s="109">
        <f t="shared" si="38"/>
        <v>-2.1672822843367681</v>
      </c>
      <c r="E142" s="109">
        <f t="shared" si="39"/>
        <v>-3.3066195608344984</v>
      </c>
      <c r="F142" s="109">
        <f t="shared" si="40"/>
        <v>-0.22208634215876616</v>
      </c>
      <c r="G142">
        <f t="shared" si="41"/>
        <v>-73.864457265892497</v>
      </c>
      <c r="H142">
        <f t="shared" si="42"/>
        <v>-2.1672822843367681</v>
      </c>
      <c r="I142" s="109">
        <f t="shared" si="43"/>
        <v>-3.3066195608344984</v>
      </c>
      <c r="J142" s="109">
        <f t="shared" si="44"/>
        <v>-0.22208634215876616</v>
      </c>
    </row>
    <row r="143" spans="1:10" x14ac:dyDescent="0.25">
      <c r="A143">
        <v>136</v>
      </c>
      <c r="B143">
        <f t="shared" si="36"/>
        <v>2.3736477827122884</v>
      </c>
      <c r="C143" s="109">
        <f t="shared" si="37"/>
        <v>-68.193684029337192</v>
      </c>
      <c r="D143" s="109">
        <f t="shared" si="38"/>
        <v>-2.1681468399366564</v>
      </c>
      <c r="E143" s="109">
        <f t="shared" si="39"/>
        <v>-3.052761475320493</v>
      </c>
      <c r="F143" s="109">
        <f t="shared" si="40"/>
        <v>-0.22217493513632136</v>
      </c>
      <c r="G143">
        <f t="shared" si="41"/>
        <v>-68.193684029337192</v>
      </c>
      <c r="H143">
        <f t="shared" si="42"/>
        <v>-2.1681468399366564</v>
      </c>
      <c r="I143" s="109">
        <f t="shared" si="43"/>
        <v>-3.052761475320493</v>
      </c>
      <c r="J143" s="109">
        <f t="shared" si="44"/>
        <v>-0.22217493513632136</v>
      </c>
    </row>
    <row r="144" spans="1:10" x14ac:dyDescent="0.25">
      <c r="A144">
        <v>137</v>
      </c>
      <c r="B144">
        <f t="shared" si="36"/>
        <v>2.3911010752322315</v>
      </c>
      <c r="C144" s="109">
        <f t="shared" si="37"/>
        <v>-62.321611826897879</v>
      </c>
      <c r="D144" s="109">
        <f t="shared" si="38"/>
        <v>-2.1680022289346228</v>
      </c>
      <c r="E144" s="109">
        <f t="shared" si="39"/>
        <v>-2.7898920313966946</v>
      </c>
      <c r="F144" s="109">
        <f t="shared" si="40"/>
        <v>-0.22216011651822551</v>
      </c>
      <c r="G144">
        <f t="shared" si="41"/>
        <v>-62.321611826897879</v>
      </c>
      <c r="H144">
        <f t="shared" si="42"/>
        <v>-2.1680022289346228</v>
      </c>
      <c r="I144" s="109">
        <f t="shared" si="43"/>
        <v>-2.7898920313966946</v>
      </c>
      <c r="J144" s="109">
        <f t="shared" si="44"/>
        <v>-0.22216011651822551</v>
      </c>
    </row>
    <row r="145" spans="1:10" x14ac:dyDescent="0.25">
      <c r="A145">
        <v>138</v>
      </c>
      <c r="B145">
        <f t="shared" si="36"/>
        <v>2.4085543677521746</v>
      </c>
      <c r="C145" s="109">
        <f t="shared" si="37"/>
        <v>-56.24825413005226</v>
      </c>
      <c r="D145" s="109">
        <f t="shared" si="38"/>
        <v>-2.1668426711725775</v>
      </c>
      <c r="E145" s="109">
        <f t="shared" si="39"/>
        <v>-2.5180118321278693</v>
      </c>
      <c r="F145" s="109">
        <f t="shared" si="40"/>
        <v>-0.22204129399854008</v>
      </c>
      <c r="G145">
        <f t="shared" si="41"/>
        <v>-56.24825413005226</v>
      </c>
      <c r="H145">
        <f t="shared" si="42"/>
        <v>-2.1668426711725775</v>
      </c>
      <c r="I145" s="109">
        <f t="shared" si="43"/>
        <v>-2.5180118321278693</v>
      </c>
      <c r="J145" s="109">
        <f t="shared" si="44"/>
        <v>-0.22204129399854008</v>
      </c>
    </row>
    <row r="146" spans="1:10" x14ac:dyDescent="0.25">
      <c r="A146">
        <v>139</v>
      </c>
      <c r="B146">
        <f t="shared" si="36"/>
        <v>2.4260076602721181</v>
      </c>
      <c r="C146" s="109">
        <f t="shared" si="37"/>
        <v>-49.973718642207928</v>
      </c>
      <c r="D146" s="109">
        <f t="shared" si="38"/>
        <v>-2.1646628036551059</v>
      </c>
      <c r="E146" s="109">
        <f t="shared" si="39"/>
        <v>-2.2371256989695252</v>
      </c>
      <c r="F146" s="109">
        <f t="shared" si="40"/>
        <v>-0.22181791801893433</v>
      </c>
      <c r="G146">
        <f t="shared" si="41"/>
        <v>-49.973718642207928</v>
      </c>
      <c r="H146">
        <f t="shared" si="42"/>
        <v>-2.1646628036551059</v>
      </c>
      <c r="I146" s="109">
        <f t="shared" si="43"/>
        <v>-2.2371256989695252</v>
      </c>
      <c r="J146" s="109">
        <f t="shared" si="44"/>
        <v>-0.22181791801893433</v>
      </c>
    </row>
    <row r="147" spans="1:10" x14ac:dyDescent="0.25">
      <c r="A147">
        <v>140</v>
      </c>
      <c r="B147">
        <f t="shared" si="36"/>
        <v>2.4434609527920612</v>
      </c>
      <c r="C147" s="109">
        <f t="shared" si="37"/>
        <v>-43.498207796616327</v>
      </c>
      <c r="D147" s="109">
        <f t="shared" si="38"/>
        <v>-2.1614576839242994</v>
      </c>
      <c r="E147" s="109">
        <f t="shared" si="39"/>
        <v>-1.9472426940575496</v>
      </c>
      <c r="F147" s="109">
        <f t="shared" si="40"/>
        <v>-0.2214894821145115</v>
      </c>
      <c r="G147">
        <f t="shared" si="41"/>
        <v>-43.498207796616327</v>
      </c>
      <c r="H147">
        <f t="shared" si="42"/>
        <v>-2.1614576839242994</v>
      </c>
      <c r="I147" s="109">
        <f t="shared" si="43"/>
        <v>-1.9472426940575496</v>
      </c>
      <c r="J147" s="109">
        <f t="shared" si="44"/>
        <v>-0.2214894821145115</v>
      </c>
    </row>
    <row r="148" spans="1:10" x14ac:dyDescent="0.25">
      <c r="A148">
        <v>141</v>
      </c>
      <c r="B148">
        <f t="shared" si="36"/>
        <v>2.4609142453120043</v>
      </c>
      <c r="C148" s="109">
        <f t="shared" si="37"/>
        <v>-36.822019215241085</v>
      </c>
      <c r="D148" s="109">
        <f t="shared" si="38"/>
        <v>-2.1572227932730605</v>
      </c>
      <c r="E148" s="109">
        <f t="shared" si="39"/>
        <v>-1.6483761407499291</v>
      </c>
      <c r="F148" s="109">
        <f t="shared" si="40"/>
        <v>-0.22105552324308381</v>
      </c>
      <c r="G148">
        <f t="shared" si="41"/>
        <v>-36.822019215241085</v>
      </c>
      <c r="H148">
        <f t="shared" si="42"/>
        <v>-2.1572227932730605</v>
      </c>
      <c r="I148" s="109">
        <f t="shared" si="43"/>
        <v>-1.6483761407499291</v>
      </c>
      <c r="J148" s="109">
        <f t="shared" si="44"/>
        <v>-0.22105552324308381</v>
      </c>
    </row>
    <row r="149" spans="1:10" x14ac:dyDescent="0.25">
      <c r="A149">
        <v>142</v>
      </c>
      <c r="B149">
        <f t="shared" si="36"/>
        <v>2.4783675378319479</v>
      </c>
      <c r="C149" s="109">
        <f t="shared" si="37"/>
        <v>-29.945546128285173</v>
      </c>
      <c r="D149" s="109">
        <f t="shared" si="38"/>
        <v>-2.1519540397953811</v>
      </c>
      <c r="E149" s="109">
        <f t="shared" si="39"/>
        <v>-1.3405436424073223</v>
      </c>
      <c r="F149" s="109">
        <f t="shared" si="40"/>
        <v>-0.22051562209774123</v>
      </c>
      <c r="G149">
        <f t="shared" si="41"/>
        <v>-29.945546128285173</v>
      </c>
      <c r="H149">
        <f t="shared" si="42"/>
        <v>-2.1519540397953811</v>
      </c>
      <c r="I149" s="109">
        <f t="shared" si="43"/>
        <v>-1.3405436424073223</v>
      </c>
      <c r="J149" s="109">
        <f t="shared" si="44"/>
        <v>-0.22051562209774123</v>
      </c>
    </row>
    <row r="150" spans="1:10" x14ac:dyDescent="0.25">
      <c r="A150">
        <v>143</v>
      </c>
      <c r="B150">
        <f t="shared" si="36"/>
        <v>2.4958208303518914</v>
      </c>
      <c r="C150" s="109">
        <f t="shared" si="37"/>
        <v>-22.869277754092195</v>
      </c>
      <c r="D150" s="109">
        <f t="shared" si="38"/>
        <v>-2.1456477612721523</v>
      </c>
      <c r="E150" s="109">
        <f t="shared" si="39"/>
        <v>-1.0237670993997359</v>
      </c>
      <c r="F150" s="109">
        <f t="shared" si="40"/>
        <v>-0.21986940340256703</v>
      </c>
      <c r="G150">
        <f t="shared" si="41"/>
        <v>-22.869277754092195</v>
      </c>
      <c r="H150">
        <f t="shared" si="42"/>
        <v>-2.1456477612721523</v>
      </c>
      <c r="I150" s="109">
        <f t="shared" si="43"/>
        <v>-1.0237670993997359</v>
      </c>
      <c r="J150" s="109">
        <f t="shared" si="44"/>
        <v>-0.21986940340256703</v>
      </c>
    </row>
    <row r="151" spans="1:10" x14ac:dyDescent="0.25">
      <c r="A151">
        <v>144</v>
      </c>
      <c r="B151">
        <f t="shared" si="36"/>
        <v>2.5132741228718345</v>
      </c>
      <c r="C151" s="109">
        <f t="shared" si="37"/>
        <v>-15.593799639151939</v>
      </c>
      <c r="D151" s="109">
        <f t="shared" si="38"/>
        <v>-2.1383007278911337</v>
      </c>
      <c r="E151" s="109">
        <f t="shared" si="39"/>
        <v>-0.69807272432722889</v>
      </c>
      <c r="F151" s="109">
        <f t="shared" si="40"/>
        <v>-0.21911653619135918</v>
      </c>
      <c r="G151">
        <f t="shared" si="41"/>
        <v>-15.593799639151939</v>
      </c>
      <c r="H151">
        <f t="shared" si="42"/>
        <v>-2.1383007278911337</v>
      </c>
      <c r="I151" s="109">
        <f t="shared" si="43"/>
        <v>-0.69807272432722889</v>
      </c>
      <c r="J151" s="109">
        <f t="shared" si="44"/>
        <v>-0.21911653619135918</v>
      </c>
    </row>
    <row r="152" spans="1:10" x14ac:dyDescent="0.25">
      <c r="A152">
        <v>145</v>
      </c>
      <c r="B152">
        <f t="shared" si="36"/>
        <v>2.5307274153917776</v>
      </c>
      <c r="C152" s="109">
        <f t="shared" si="37"/>
        <v>-8.1197939579601552</v>
      </c>
      <c r="D152" s="109">
        <f t="shared" si="38"/>
        <v>-2.1299101447997573</v>
      </c>
      <c r="E152" s="109">
        <f t="shared" si="39"/>
        <v>-0.36349105544344934</v>
      </c>
      <c r="F152" s="109">
        <f t="shared" si="40"/>
        <v>-0.21825673406922205</v>
      </c>
      <c r="G152">
        <f t="shared" si="41"/>
        <v>-8.1197939579601552</v>
      </c>
      <c r="H152">
        <f t="shared" si="42"/>
        <v>-2.1299101447997573</v>
      </c>
      <c r="I152" s="109">
        <f t="shared" si="43"/>
        <v>-0.36349105544344934</v>
      </c>
      <c r="J152" s="109">
        <f t="shared" si="44"/>
        <v>-0.21825673406922205</v>
      </c>
    </row>
    <row r="153" spans="1:10" x14ac:dyDescent="0.25">
      <c r="A153">
        <v>146</v>
      </c>
      <c r="B153">
        <f t="shared" si="36"/>
        <v>2.5481807079117211</v>
      </c>
      <c r="C153" s="109">
        <f t="shared" si="37"/>
        <v>-0.44803977249478066</v>
      </c>
      <c r="D153" s="109">
        <f t="shared" si="38"/>
        <v>-2.1204736544895142</v>
      </c>
      <c r="E153" s="109">
        <f t="shared" si="39"/>
        <v>-2.0056968271357941E-2</v>
      </c>
      <c r="F153" s="109">
        <f t="shared" si="40"/>
        <v>-0.2172897554568998</v>
      </c>
      <c r="G153">
        <f t="shared" si="41"/>
        <v>-0.44803977249478066</v>
      </c>
      <c r="H153">
        <f t="shared" si="42"/>
        <v>-2.1204736544895142</v>
      </c>
      <c r="I153" s="109">
        <f t="shared" si="43"/>
        <v>-2.0056968271357941E-2</v>
      </c>
      <c r="J153" s="109">
        <f t="shared" si="44"/>
        <v>-0.2172897554568998</v>
      </c>
    </row>
    <row r="154" spans="1:10" x14ac:dyDescent="0.25">
      <c r="A154">
        <v>147</v>
      </c>
      <c r="B154">
        <f t="shared" si="36"/>
        <v>2.5656340004316647</v>
      </c>
      <c r="C154" s="109">
        <f t="shared" si="37"/>
        <v>7.4205867489113189</v>
      </c>
      <c r="D154" s="109">
        <f t="shared" si="38"/>
        <v>-2.1099893390107347</v>
      </c>
      <c r="E154" s="109">
        <f t="shared" si="39"/>
        <v>0.33219031459870518</v>
      </c>
      <c r="F154" s="109">
        <f t="shared" si="40"/>
        <v>-0.21621540381773008</v>
      </c>
      <c r="G154">
        <f t="shared" si="41"/>
        <v>7.4205867489113189</v>
      </c>
      <c r="H154">
        <f t="shared" si="42"/>
        <v>-2.1099893390107347</v>
      </c>
      <c r="I154" s="109">
        <f t="shared" si="43"/>
        <v>0.33219031459870518</v>
      </c>
      <c r="J154" s="109">
        <f t="shared" si="44"/>
        <v>-0.21621540381773008</v>
      </c>
    </row>
    <row r="155" spans="1:10" x14ac:dyDescent="0.25">
      <c r="A155">
        <v>148</v>
      </c>
      <c r="B155">
        <f t="shared" si="36"/>
        <v>2.5830872929516078</v>
      </c>
      <c r="C155" s="109">
        <f t="shared" si="37"/>
        <v>15.485112153511068</v>
      </c>
      <c r="D155" s="109">
        <f t="shared" si="38"/>
        <v>-2.0984557220166238</v>
      </c>
      <c r="E155" s="109">
        <f t="shared" si="39"/>
        <v>0.69320721553801068</v>
      </c>
      <c r="F155" s="109">
        <f t="shared" si="40"/>
        <v>-0.21503352786710095</v>
      </c>
      <c r="G155">
        <f t="shared" si="41"/>
        <v>15.485112153511068</v>
      </c>
      <c r="H155">
        <f t="shared" si="42"/>
        <v>-2.0984557220166238</v>
      </c>
      <c r="I155" s="109">
        <f t="shared" si="43"/>
        <v>0.69320721553801068</v>
      </c>
      <c r="J155" s="109">
        <f t="shared" si="44"/>
        <v>-0.21503352786710095</v>
      </c>
    </row>
    <row r="156" spans="1:10" x14ac:dyDescent="0.25">
      <c r="A156">
        <v>149</v>
      </c>
      <c r="B156">
        <f t="shared" si="36"/>
        <v>2.6005405854715509</v>
      </c>
      <c r="C156" s="109">
        <f t="shared" si="37"/>
        <v>23.744465567082102</v>
      </c>
      <c r="D156" s="109">
        <f t="shared" si="38"/>
        <v>-2.0858717706354875</v>
      </c>
      <c r="E156" s="109">
        <f t="shared" si="39"/>
        <v>1.0629457957437578</v>
      </c>
      <c r="F156" s="109">
        <f t="shared" si="40"/>
        <v>-0.21374402176430196</v>
      </c>
      <c r="G156">
        <f t="shared" si="41"/>
        <v>23.744465567082102</v>
      </c>
      <c r="H156">
        <f t="shared" si="42"/>
        <v>-2.0858717706354875</v>
      </c>
      <c r="I156" s="109">
        <f t="shared" si="43"/>
        <v>1.0629457957437578</v>
      </c>
      <c r="J156" s="109">
        <f t="shared" si="44"/>
        <v>-0.21374402176430196</v>
      </c>
    </row>
    <row r="157" spans="1:10" x14ac:dyDescent="0.25">
      <c r="A157">
        <v>150</v>
      </c>
      <c r="B157">
        <f t="shared" si="36"/>
        <v>2.6179938779914944</v>
      </c>
      <c r="C157" s="109">
        <f t="shared" si="37"/>
        <v>32.197478598041471</v>
      </c>
      <c r="D157" s="109">
        <f t="shared" si="38"/>
        <v>-2.0722368971701486</v>
      </c>
      <c r="E157" s="109">
        <f t="shared" si="39"/>
        <v>1.4413537509466685</v>
      </c>
      <c r="F157" s="109">
        <f t="shared" si="40"/>
        <v>-0.2123468252866676</v>
      </c>
      <c r="G157">
        <f t="shared" si="41"/>
        <v>32.197478598041471</v>
      </c>
      <c r="H157">
        <f t="shared" si="42"/>
        <v>-2.0722368971701486</v>
      </c>
      <c r="I157" s="109">
        <f t="shared" si="43"/>
        <v>1.4413537509466685</v>
      </c>
      <c r="J157" s="109">
        <f t="shared" si="44"/>
        <v>-0.2123468252866676</v>
      </c>
    </row>
    <row r="158" spans="1:10" x14ac:dyDescent="0.25">
      <c r="A158">
        <v>151</v>
      </c>
      <c r="B158">
        <f t="shared" si="36"/>
        <v>2.6354471705114375</v>
      </c>
      <c r="C158" s="109">
        <f t="shared" si="37"/>
        <v>40.84288528288846</v>
      </c>
      <c r="D158" s="109">
        <f t="shared" si="38"/>
        <v>-2.0575509606236158</v>
      </c>
      <c r="E158" s="109">
        <f t="shared" si="39"/>
        <v>1.8283744089686791</v>
      </c>
      <c r="F158" s="109">
        <f t="shared" si="40"/>
        <v>-0.21084192398591556</v>
      </c>
      <c r="G158">
        <f t="shared" si="41"/>
        <v>40.84288528288846</v>
      </c>
      <c r="H158">
        <f t="shared" si="42"/>
        <v>-2.0575509606236158</v>
      </c>
      <c r="I158" s="109">
        <f t="shared" si="43"/>
        <v>1.8283744089686791</v>
      </c>
      <c r="J158" s="109">
        <f t="shared" si="44"/>
        <v>-0.21084192398591556</v>
      </c>
    </row>
    <row r="159" spans="1:10" x14ac:dyDescent="0.25">
      <c r="A159">
        <v>152</v>
      </c>
      <c r="B159">
        <f t="shared" si="36"/>
        <v>2.6529004630313806</v>
      </c>
      <c r="C159" s="109">
        <f t="shared" si="37"/>
        <v>49.679322073127651</v>
      </c>
      <c r="D159" s="109">
        <f t="shared" si="38"/>
        <v>-2.041814268050115</v>
      </c>
      <c r="E159" s="109">
        <f t="shared" si="39"/>
        <v>2.2239467291375368</v>
      </c>
      <c r="F159" s="109">
        <f t="shared" si="40"/>
        <v>-0.20922934932659043</v>
      </c>
      <c r="G159">
        <f t="shared" si="41"/>
        <v>49.679322073127651</v>
      </c>
      <c r="H159">
        <f t="shared" si="42"/>
        <v>-2.041814268050115</v>
      </c>
      <c r="I159" s="109">
        <f t="shared" si="43"/>
        <v>2.2239467291375368</v>
      </c>
      <c r="J159" s="109">
        <f t="shared" si="44"/>
        <v>-0.20922934932659043</v>
      </c>
    </row>
    <row r="160" spans="1:10" x14ac:dyDescent="0.25">
      <c r="A160">
        <v>153</v>
      </c>
      <c r="B160">
        <f t="shared" si="36"/>
        <v>2.6703537555513241</v>
      </c>
      <c r="C160" s="109">
        <f t="shared" si="37"/>
        <v>58.705327863784532</v>
      </c>
      <c r="D160" s="109">
        <f t="shared" si="38"/>
        <v>-2.0250275757306948</v>
      </c>
      <c r="E160" s="109">
        <f t="shared" si="39"/>
        <v>2.6280053035633304</v>
      </c>
      <c r="F160" s="109">
        <f t="shared" si="40"/>
        <v>-0.20750917880653028</v>
      </c>
      <c r="G160">
        <f t="shared" si="41"/>
        <v>58.705327863784532</v>
      </c>
      <c r="H160">
        <f t="shared" si="42"/>
        <v>-2.0250275757306948</v>
      </c>
      <c r="I160" s="109">
        <f t="shared" si="43"/>
        <v>2.6280053035633304</v>
      </c>
      <c r="J160" s="109">
        <f t="shared" si="44"/>
        <v>-0.20750917880653028</v>
      </c>
    </row>
    <row r="161" spans="1:10" x14ac:dyDescent="0.25">
      <c r="A161">
        <v>154</v>
      </c>
      <c r="B161">
        <f t="shared" si="36"/>
        <v>2.6878070480712677</v>
      </c>
      <c r="C161" s="109">
        <f t="shared" si="37"/>
        <v>67.919344063633048</v>
      </c>
      <c r="D161" s="109">
        <f t="shared" si="38"/>
        <v>-2.0071920901726465</v>
      </c>
      <c r="E161" s="109">
        <f t="shared" si="39"/>
        <v>3.0404803602823023</v>
      </c>
      <c r="F161" s="109">
        <f t="shared" si="40"/>
        <v>-0.20568153605927988</v>
      </c>
      <c r="G161">
        <f t="shared" si="41"/>
        <v>67.919344063633048</v>
      </c>
      <c r="H161">
        <f t="shared" si="42"/>
        <v>-2.0071920901726465</v>
      </c>
      <c r="I161" s="109">
        <f t="shared" si="43"/>
        <v>3.0404803602823023</v>
      </c>
      <c r="J161" s="109">
        <f t="shared" si="44"/>
        <v>-0.20568153605927988</v>
      </c>
    </row>
    <row r="162" spans="1:10" x14ac:dyDescent="0.25">
      <c r="A162">
        <v>155</v>
      </c>
      <c r="B162">
        <f t="shared" si="36"/>
        <v>2.7052603405912108</v>
      </c>
      <c r="C162" s="109">
        <f t="shared" si="37"/>
        <v>77.319714707221692</v>
      </c>
      <c r="D162" s="109">
        <f t="shared" si="38"/>
        <v>-1.988309468932064</v>
      </c>
      <c r="E162" s="109">
        <f t="shared" si="39"/>
        <v>3.4612977682718089</v>
      </c>
      <c r="F162" s="109">
        <f t="shared" si="40"/>
        <v>-0.20374659093837988</v>
      </c>
      <c r="G162">
        <f t="shared" si="41"/>
        <v>77.319714707221692</v>
      </c>
      <c r="H162">
        <f t="shared" si="42"/>
        <v>-1.988309468932064</v>
      </c>
      <c r="I162" s="109">
        <f t="shared" si="43"/>
        <v>3.4612977682718089</v>
      </c>
      <c r="J162" s="109">
        <f t="shared" si="44"/>
        <v>-0.20374659093837988</v>
      </c>
    </row>
    <row r="163" spans="1:10" x14ac:dyDescent="0.25">
      <c r="A163">
        <v>156</v>
      </c>
      <c r="B163">
        <f t="shared" si="36"/>
        <v>2.7227136331111539</v>
      </c>
      <c r="C163" s="109">
        <f t="shared" si="37"/>
        <v>86.904686608780708</v>
      </c>
      <c r="D163" s="109">
        <f t="shared" si="38"/>
        <v>-1.9683818212589292</v>
      </c>
      <c r="E163" s="109">
        <f t="shared" si="39"/>
        <v>3.8903790443401429</v>
      </c>
      <c r="F163" s="109">
        <f t="shared" si="40"/>
        <v>-0.20170455958347056</v>
      </c>
      <c r="G163">
        <f t="shared" si="41"/>
        <v>86.904686608780708</v>
      </c>
      <c r="H163">
        <f t="shared" si="42"/>
        <v>-1.9683818212589292</v>
      </c>
      <c r="I163" s="109">
        <f t="shared" si="43"/>
        <v>3.8903790443401429</v>
      </c>
      <c r="J163" s="109">
        <f t="shared" si="44"/>
        <v>-0.20170455958347056</v>
      </c>
    </row>
    <row r="164" spans="1:10" x14ac:dyDescent="0.25">
      <c r="A164">
        <v>157</v>
      </c>
      <c r="B164">
        <f t="shared" si="36"/>
        <v>2.740166925631097</v>
      </c>
      <c r="C164" s="109">
        <f t="shared" si="37"/>
        <v>96.672409558061645</v>
      </c>
      <c r="D164" s="109">
        <f t="shared" si="38"/>
        <v>-1.947411708564182</v>
      </c>
      <c r="E164" s="109">
        <f t="shared" si="39"/>
        <v>4.327641361893491</v>
      </c>
      <c r="F164" s="109">
        <f t="shared" si="40"/>
        <v>-0.19955570446815332</v>
      </c>
      <c r="G164">
        <f t="shared" si="41"/>
        <v>96.672409558061645</v>
      </c>
      <c r="H164">
        <f t="shared" si="42"/>
        <v>-1.947411708564182</v>
      </c>
      <c r="I164" s="109">
        <f t="shared" si="43"/>
        <v>4.327641361893491</v>
      </c>
      <c r="J164" s="109">
        <f t="shared" si="44"/>
        <v>-0.19955570446815332</v>
      </c>
    </row>
    <row r="165" spans="1:10" x14ac:dyDescent="0.25">
      <c r="A165">
        <v>158</v>
      </c>
      <c r="B165">
        <f t="shared" si="36"/>
        <v>2.7576202181510405</v>
      </c>
      <c r="C165" s="109">
        <f t="shared" si="37"/>
        <v>106.62093655816204</v>
      </c>
      <c r="D165" s="109">
        <f t="shared" si="38"/>
        <v>-1.9254021447082845</v>
      </c>
      <c r="E165" s="109">
        <f t="shared" si="39"/>
        <v>4.7729975615824056</v>
      </c>
      <c r="F165" s="109">
        <f t="shared" si="40"/>
        <v>-0.19730033442956055</v>
      </c>
      <c r="G165">
        <f t="shared" si="41"/>
        <v>106.62093655816204</v>
      </c>
      <c r="H165">
        <f t="shared" si="42"/>
        <v>-1.9254021447082845</v>
      </c>
      <c r="I165" s="109">
        <f t="shared" si="43"/>
        <v>4.7729975615824056</v>
      </c>
      <c r="J165" s="109">
        <f t="shared" si="44"/>
        <v>-0.19730033442956055</v>
      </c>
    </row>
    <row r="166" spans="1:10" x14ac:dyDescent="0.25">
      <c r="A166">
        <v>159</v>
      </c>
      <c r="B166">
        <f t="shared" si="36"/>
        <v>2.7750735106709841</v>
      </c>
      <c r="C166" s="109">
        <f t="shared" si="37"/>
        <v>116.74822410535262</v>
      </c>
      <c r="D166" s="109">
        <f t="shared" si="38"/>
        <v>-1.9023565961108748</v>
      </c>
      <c r="E166" s="109">
        <f t="shared" si="39"/>
        <v>5.2263561638285623</v>
      </c>
      <c r="F166" s="109">
        <f t="shared" si="40"/>
        <v>-0.1949388046795921</v>
      </c>
      <c r="G166">
        <f t="shared" si="41"/>
        <v>116.74822410535262</v>
      </c>
      <c r="H166">
        <f t="shared" si="42"/>
        <v>-1.9023565961108748</v>
      </c>
      <c r="I166" s="109">
        <f t="shared" si="43"/>
        <v>5.2263561638285623</v>
      </c>
      <c r="J166" s="109">
        <f t="shared" si="44"/>
        <v>-0.1949388046795921</v>
      </c>
    </row>
    <row r="167" spans="1:10" x14ac:dyDescent="0.25">
      <c r="A167">
        <v>160</v>
      </c>
      <c r="B167">
        <f t="shared" ref="B167:B187" si="45">A167*PI()/180</f>
        <v>2.7925268031909272</v>
      </c>
      <c r="C167" s="109">
        <f t="shared" ref="C167:C187" si="46">(0.0796*FA_SUS*D*0.5)-(0.238*FA_SUS*D*0.5*(1-COS(B167)))+(FA_SUS*0.5*D/PI())*(1-COS(B167)-B167*SIN(B167)*0.5)</f>
        <v>127.05213251092732</v>
      </c>
      <c r="D167" s="109">
        <f t="shared" ref="D167:D187" si="47">0.238*FA_SUS*COS(B167)-(FA_SUS/(2*PI()))*B167*SIN(B167)</f>
        <v>-1.8782789816811616</v>
      </c>
      <c r="E167" s="109">
        <f t="shared" ref="E167:E187" si="48">0.000001*C167/Z_BareRoark</f>
        <v>5.6876213832327114</v>
      </c>
      <c r="F167" s="109">
        <f t="shared" ref="F167:F187" si="49">D167*1000/(beff_Bare_Roark*Tnet_Bare_Roark)</f>
        <v>-0.19247151679778279</v>
      </c>
      <c r="G167">
        <f t="shared" ref="G167:G187" si="50">(0.0796*FA_EXP*D*0.5)-(0.238*FA_EXP*D*0.5*(1-COS(B167)))+(FA_EXP*0.5*D/PI())*(1-COS(B167)-B167*SIN(B167)*0.5)</f>
        <v>127.05213251092732</v>
      </c>
      <c r="H167">
        <f t="shared" ref="H167:H187" si="51">0.238*FA_EXP*COS(B167)-(FA_EXP/(2*PI()))*B167*SIN(B167)</f>
        <v>-1.8782789816811616</v>
      </c>
      <c r="I167" s="109">
        <f t="shared" ref="I167:I187" si="52">0.000001*G167/Z_BareRoark</f>
        <v>5.6876213832327114</v>
      </c>
      <c r="J167" s="109">
        <f t="shared" ref="J167:J187" si="53">H167*1000/(beff_Bare_Roark*Tnet_Bare_Roark)</f>
        <v>-0.19247151679778279</v>
      </c>
    </row>
    <row r="168" spans="1:10" x14ac:dyDescent="0.25">
      <c r="A168">
        <v>161</v>
      </c>
      <c r="B168">
        <f t="shared" si="45"/>
        <v>2.8099800957108703</v>
      </c>
      <c r="C168" s="109">
        <f t="shared" si="46"/>
        <v>137.53042626506056</v>
      </c>
      <c r="D168" s="109">
        <f t="shared" si="47"/>
        <v>-1.853173672568774</v>
      </c>
      <c r="E168" s="109">
        <f t="shared" si="48"/>
        <v>6.1566931448631292</v>
      </c>
      <c r="F168" s="109">
        <f t="shared" si="49"/>
        <v>-0.18989891870577119</v>
      </c>
      <c r="G168">
        <f t="shared" si="50"/>
        <v>137.53042626506056</v>
      </c>
      <c r="H168">
        <f t="shared" si="51"/>
        <v>-1.853173672568774</v>
      </c>
      <c r="I168" s="109">
        <f t="shared" si="52"/>
        <v>6.1566931448631292</v>
      </c>
      <c r="J168" s="109">
        <f t="shared" si="53"/>
        <v>-0.18989891870577119</v>
      </c>
    </row>
    <row r="169" spans="1:10" x14ac:dyDescent="0.25">
      <c r="A169">
        <v>162</v>
      </c>
      <c r="B169">
        <f t="shared" si="45"/>
        <v>2.8274333882308138</v>
      </c>
      <c r="C169" s="109">
        <f t="shared" si="46"/>
        <v>148.18077444265487</v>
      </c>
      <c r="D169" s="109">
        <f t="shared" si="47"/>
        <v>-1.8270454917348644</v>
      </c>
      <c r="E169" s="109">
        <f t="shared" si="48"/>
        <v>6.6334671024238112</v>
      </c>
      <c r="F169" s="109">
        <f t="shared" si="49"/>
        <v>-0.18722150462334974</v>
      </c>
      <c r="G169">
        <f t="shared" si="50"/>
        <v>148.18077444265487</v>
      </c>
      <c r="H169">
        <f t="shared" si="51"/>
        <v>-1.8270454917348644</v>
      </c>
      <c r="I169" s="109">
        <f t="shared" si="52"/>
        <v>6.6334671024238112</v>
      </c>
      <c r="J169" s="109">
        <f t="shared" si="53"/>
        <v>-0.18722150462334974</v>
      </c>
    </row>
    <row r="170" spans="1:10" x14ac:dyDescent="0.25">
      <c r="A170">
        <v>163</v>
      </c>
      <c r="B170">
        <f t="shared" si="45"/>
        <v>2.8448866807507569</v>
      </c>
      <c r="C170" s="109">
        <f t="shared" si="46"/>
        <v>159.00075115113316</v>
      </c>
      <c r="D170" s="109">
        <f t="shared" si="47"/>
        <v>-1.7998997133433197</v>
      </c>
      <c r="E170" s="109">
        <f t="shared" si="48"/>
        <v>7.1178346583003576</v>
      </c>
      <c r="F170" s="109">
        <f t="shared" si="49"/>
        <v>-0.18443981500608075</v>
      </c>
      <c r="G170">
        <f t="shared" si="50"/>
        <v>159.00075115113316</v>
      </c>
      <c r="H170">
        <f t="shared" si="51"/>
        <v>-1.7998997133433197</v>
      </c>
      <c r="I170" s="109">
        <f t="shared" si="52"/>
        <v>7.1178346583003576</v>
      </c>
      <c r="J170" s="109">
        <f t="shared" si="53"/>
        <v>-0.18443981500608075</v>
      </c>
    </row>
    <row r="171" spans="1:10" x14ac:dyDescent="0.25">
      <c r="A171">
        <v>164</v>
      </c>
      <c r="B171">
        <f t="shared" si="45"/>
        <v>2.8623399732707</v>
      </c>
      <c r="C171" s="109">
        <f t="shared" si="46"/>
        <v>169.98783602012816</v>
      </c>
      <c r="D171" s="109">
        <f t="shared" si="47"/>
        <v>-1.7717420619719872</v>
      </c>
      <c r="E171" s="109">
        <f t="shared" si="48"/>
        <v>7.6096829854814381</v>
      </c>
      <c r="F171" s="109">
        <f t="shared" si="49"/>
        <v>-0.18155443646446881</v>
      </c>
      <c r="G171">
        <f t="shared" si="50"/>
        <v>169.98783602012816</v>
      </c>
      <c r="H171">
        <f t="shared" si="51"/>
        <v>-1.7717420619719872</v>
      </c>
      <c r="I171" s="109">
        <f t="shared" si="52"/>
        <v>7.6096829854814381</v>
      </c>
      <c r="J171" s="109">
        <f t="shared" si="53"/>
        <v>-0.18155443646446881</v>
      </c>
    </row>
    <row r="172" spans="1:10" x14ac:dyDescent="0.25">
      <c r="A172">
        <v>165</v>
      </c>
      <c r="B172">
        <f t="shared" si="45"/>
        <v>2.8797932657906435</v>
      </c>
      <c r="C172" s="109">
        <f t="shared" si="46"/>
        <v>181.13941473298496</v>
      </c>
      <c r="D172" s="109">
        <f t="shared" si="47"/>
        <v>-1.7425787116439351</v>
      </c>
      <c r="E172" s="109">
        <f t="shared" si="48"/>
        <v>8.1088950513520519</v>
      </c>
      <c r="F172" s="109">
        <f t="shared" si="49"/>
        <v>-0.17856600166469203</v>
      </c>
      <c r="G172">
        <f t="shared" si="50"/>
        <v>181.13941473298496</v>
      </c>
      <c r="H172">
        <f t="shared" si="51"/>
        <v>-1.7425787116439351</v>
      </c>
      <c r="I172" s="109">
        <f t="shared" si="52"/>
        <v>8.1088950513520519</v>
      </c>
      <c r="J172" s="109">
        <f t="shared" si="53"/>
        <v>-0.17856600166469203</v>
      </c>
    </row>
    <row r="173" spans="1:10" x14ac:dyDescent="0.25">
      <c r="A173">
        <v>166</v>
      </c>
      <c r="B173">
        <f t="shared" si="45"/>
        <v>2.8972465583105871</v>
      </c>
      <c r="C173" s="109">
        <f t="shared" si="46"/>
        <v>192.45277959999396</v>
      </c>
      <c r="D173" s="109">
        <f t="shared" si="47"/>
        <v>-1.7124162846787807</v>
      </c>
      <c r="E173" s="109">
        <f t="shared" si="48"/>
        <v>8.6153496433549055</v>
      </c>
      <c r="F173" s="109">
        <f t="shared" si="49"/>
        <v>-0.17547518921089486</v>
      </c>
      <c r="G173">
        <f t="shared" si="50"/>
        <v>192.45277959999396</v>
      </c>
      <c r="H173">
        <f t="shared" si="51"/>
        <v>-1.7124162846787807</v>
      </c>
      <c r="I173" s="109">
        <f t="shared" si="52"/>
        <v>8.6153496433549055</v>
      </c>
      <c r="J173" s="109">
        <f t="shared" si="53"/>
        <v>-0.17547518921089486</v>
      </c>
    </row>
    <row r="174" spans="1:10" x14ac:dyDescent="0.25">
      <c r="A174">
        <v>167</v>
      </c>
      <c r="B174">
        <f t="shared" si="45"/>
        <v>2.9146998508305306</v>
      </c>
      <c r="C174" s="109">
        <f t="shared" si="46"/>
        <v>203.92513017324643</v>
      </c>
      <c r="D174" s="109">
        <f t="shared" si="47"/>
        <v>-1.6812618503642274</v>
      </c>
      <c r="E174" s="109">
        <f t="shared" si="48"/>
        <v>9.1289213965150573</v>
      </c>
      <c r="F174" s="109">
        <f t="shared" si="49"/>
        <v>-0.17228272350905757</v>
      </c>
      <c r="G174">
        <f t="shared" si="50"/>
        <v>203.92513017324643</v>
      </c>
      <c r="H174">
        <f t="shared" si="51"/>
        <v>-1.6812618503642274</v>
      </c>
      <c r="I174" s="109">
        <f t="shared" si="52"/>
        <v>9.1289213965150573</v>
      </c>
      <c r="J174" s="109">
        <f t="shared" si="53"/>
        <v>-0.17228272350905757</v>
      </c>
    </row>
    <row r="175" spans="1:10" x14ac:dyDescent="0.25">
      <c r="A175">
        <v>168</v>
      </c>
      <c r="B175">
        <f t="shared" si="45"/>
        <v>2.9321531433504737</v>
      </c>
      <c r="C175" s="109">
        <f t="shared" si="46"/>
        <v>215.55357390298764</v>
      </c>
      <c r="D175" s="109">
        <f t="shared" si="47"/>
        <v>-1.6491229234480005</v>
      </c>
      <c r="E175" s="109">
        <f t="shared" si="48"/>
        <v>9.6494808228222553</v>
      </c>
      <c r="F175" s="109">
        <f t="shared" si="49"/>
        <v>-0.16898937461246147</v>
      </c>
      <c r="G175">
        <f t="shared" si="50"/>
        <v>215.55357390298764</v>
      </c>
      <c r="H175">
        <f t="shared" si="51"/>
        <v>-1.6491229234480005</v>
      </c>
      <c r="I175" s="109">
        <f t="shared" si="52"/>
        <v>9.6494808228222553</v>
      </c>
      <c r="J175" s="109">
        <f t="shared" si="53"/>
        <v>-0.16898937461246147</v>
      </c>
    </row>
    <row r="176" spans="1:10" x14ac:dyDescent="0.25">
      <c r="A176">
        <v>169</v>
      </c>
      <c r="B176">
        <f t="shared" si="45"/>
        <v>2.9496064358704168</v>
      </c>
      <c r="C176" s="109">
        <f t="shared" si="46"/>
        <v>227.33512683532865</v>
      </c>
      <c r="D176" s="109">
        <f t="shared" si="47"/>
        <v>-1.6160074624504437</v>
      </c>
      <c r="E176" s="109">
        <f t="shared" si="48"/>
        <v>10.176894342464735</v>
      </c>
      <c r="F176" s="109">
        <f t="shared" si="49"/>
        <v>-0.16559595804877683</v>
      </c>
      <c r="G176">
        <f t="shared" si="50"/>
        <v>227.33512683532865</v>
      </c>
      <c r="H176">
        <f t="shared" si="51"/>
        <v>-1.6160074624504437</v>
      </c>
      <c r="I176" s="109">
        <f t="shared" si="52"/>
        <v>10.176894342464735</v>
      </c>
      <c r="J176" s="109">
        <f t="shared" si="53"/>
        <v>-0.16559595804877683</v>
      </c>
    </row>
    <row r="177" spans="1:10" x14ac:dyDescent="0.25">
      <c r="A177">
        <v>170</v>
      </c>
      <c r="B177">
        <f t="shared" si="45"/>
        <v>2.9670597283903604</v>
      </c>
      <c r="C177" s="109">
        <f t="shared" si="46"/>
        <v>239.26671435115964</v>
      </c>
      <c r="D177" s="109">
        <f t="shared" si="47"/>
        <v>-1.5819238677981131</v>
      </c>
      <c r="E177" s="109">
        <f t="shared" si="48"/>
        <v>10.711024316907439</v>
      </c>
      <c r="F177" s="109">
        <f t="shared" si="49"/>
        <v>-0.16210333462880799</v>
      </c>
      <c r="G177">
        <f t="shared" si="50"/>
        <v>239.26671435115964</v>
      </c>
      <c r="H177">
        <f t="shared" si="51"/>
        <v>-1.5819238677981131</v>
      </c>
      <c r="I177" s="109">
        <f t="shared" si="52"/>
        <v>10.711024316907439</v>
      </c>
      <c r="J177" s="109">
        <f t="shared" si="53"/>
        <v>-0.16210333462880799</v>
      </c>
    </row>
    <row r="178" spans="1:10" x14ac:dyDescent="0.25">
      <c r="A178">
        <v>171</v>
      </c>
      <c r="B178">
        <f t="shared" si="45"/>
        <v>2.9845130209103035</v>
      </c>
      <c r="C178" s="109">
        <f t="shared" si="46"/>
        <v>251.34517194609089</v>
      </c>
      <c r="D178" s="109">
        <f t="shared" si="47"/>
        <v>-1.5468809797787624</v>
      </c>
      <c r="E178" s="109">
        <f t="shared" si="48"/>
        <v>11.2517290838069</v>
      </c>
      <c r="F178" s="109">
        <f t="shared" si="49"/>
        <v>-0.15851241023693605</v>
      </c>
      <c r="G178">
        <f t="shared" si="50"/>
        <v>251.34517194609089</v>
      </c>
      <c r="H178">
        <f t="shared" si="51"/>
        <v>-1.5468809797787624</v>
      </c>
      <c r="I178" s="109">
        <f t="shared" si="52"/>
        <v>11.2517290838069</v>
      </c>
      <c r="J178" s="109">
        <f t="shared" si="53"/>
        <v>-0.15851241023693605</v>
      </c>
    </row>
    <row r="179" spans="1:10" x14ac:dyDescent="0.25">
      <c r="A179">
        <v>172</v>
      </c>
      <c r="B179">
        <f t="shared" si="45"/>
        <v>3.0019663134302466</v>
      </c>
      <c r="C179" s="109">
        <f t="shared" si="46"/>
        <v>263.56724605123441</v>
      </c>
      <c r="D179" s="109">
        <f t="shared" si="47"/>
        <v>-1.5108880763181811</v>
      </c>
      <c r="E179" s="109">
        <f t="shared" si="48"/>
        <v>11.79886299375438</v>
      </c>
      <c r="F179" s="109">
        <f t="shared" si="49"/>
        <v>-0.15482413560330646</v>
      </c>
      <c r="G179">
        <f t="shared" si="50"/>
        <v>263.56724605123441</v>
      </c>
      <c r="H179">
        <f t="shared" si="51"/>
        <v>-1.5108880763181811</v>
      </c>
      <c r="I179" s="109">
        <f t="shared" si="52"/>
        <v>11.79886299375438</v>
      </c>
      <c r="J179" s="109">
        <f t="shared" si="53"/>
        <v>-0.15482413560330646</v>
      </c>
    </row>
    <row r="180" spans="1:10" x14ac:dyDescent="0.25">
      <c r="A180">
        <v>173</v>
      </c>
      <c r="B180">
        <f t="shared" si="45"/>
        <v>3.0194196059501901</v>
      </c>
      <c r="C180" s="109">
        <f t="shared" si="46"/>
        <v>275.92959489461612</v>
      </c>
      <c r="D180" s="109">
        <f t="shared" si="47"/>
        <v>-1.4739548705794305</v>
      </c>
      <c r="E180" s="109">
        <f t="shared" si="48"/>
        <v>12.352276448837889</v>
      </c>
      <c r="F180" s="109">
        <f t="shared" si="49"/>
        <v>-0.15103950605781724</v>
      </c>
      <c r="G180">
        <f t="shared" si="50"/>
        <v>275.92959489461612</v>
      </c>
      <c r="H180">
        <f t="shared" si="51"/>
        <v>-1.4739548705794305</v>
      </c>
      <c r="I180" s="109">
        <f t="shared" si="52"/>
        <v>12.352276448837889</v>
      </c>
      <c r="J180" s="109">
        <f t="shared" si="53"/>
        <v>-0.15103950605781724</v>
      </c>
    </row>
    <row r="181" spans="1:10" x14ac:dyDescent="0.25">
      <c r="A181">
        <v>174</v>
      </c>
      <c r="B181">
        <f t="shared" si="45"/>
        <v>3.0368728984701332</v>
      </c>
      <c r="C181" s="109">
        <f t="shared" si="46"/>
        <v>288.42878940299772</v>
      </c>
      <c r="D181" s="109">
        <f t="shared" si="47"/>
        <v>-1.4360915083850749</v>
      </c>
      <c r="E181" s="109">
        <f t="shared" si="48"/>
        <v>12.911815943013178</v>
      </c>
      <c r="F181" s="109">
        <f t="shared" si="49"/>
        <v>-0.14715956126596924</v>
      </c>
      <c r="G181">
        <f t="shared" si="50"/>
        <v>288.42878940299772</v>
      </c>
      <c r="H181">
        <f t="shared" si="51"/>
        <v>-1.4360915083850749</v>
      </c>
      <c r="I181" s="109">
        <f t="shared" si="52"/>
        <v>12.911815943013178</v>
      </c>
      <c r="J181" s="109">
        <f t="shared" si="53"/>
        <v>-0.14715956126596924</v>
      </c>
    </row>
    <row r="182" spans="1:10" x14ac:dyDescent="0.25">
      <c r="A182">
        <v>175</v>
      </c>
      <c r="B182">
        <f t="shared" si="45"/>
        <v>3.0543261909900763</v>
      </c>
      <c r="C182" s="109">
        <f t="shared" si="46"/>
        <v>301.06131414386778</v>
      </c>
      <c r="D182" s="109">
        <f t="shared" si="47"/>
        <v>-1.3973085654630697</v>
      </c>
      <c r="E182" s="109">
        <f t="shared" si="48"/>
        <v>13.477324104272961</v>
      </c>
      <c r="F182" s="109">
        <f t="shared" si="49"/>
        <v>-0.14318538494664582</v>
      </c>
      <c r="G182">
        <f t="shared" si="50"/>
        <v>301.06131414386778</v>
      </c>
      <c r="H182">
        <f t="shared" si="51"/>
        <v>-1.3973085654630697</v>
      </c>
      <c r="I182" s="109">
        <f t="shared" si="52"/>
        <v>13.477324104272961</v>
      </c>
      <c r="J182" s="109">
        <f t="shared" si="53"/>
        <v>-0.14318538494664582</v>
      </c>
    </row>
    <row r="183" spans="1:10" x14ac:dyDescent="0.25">
      <c r="A183">
        <v>176</v>
      </c>
      <c r="B183">
        <f t="shared" si="45"/>
        <v>3.0717794835100198</v>
      </c>
      <c r="C183" s="109">
        <f t="shared" si="46"/>
        <v>313.82356830735</v>
      </c>
      <c r="D183" s="109">
        <f t="shared" si="47"/>
        <v>-1.3576170445170532</v>
      </c>
      <c r="E183" s="109">
        <f t="shared" si="48"/>
        <v>14.048639738603061</v>
      </c>
      <c r="F183" s="109">
        <f t="shared" si="49"/>
        <v>-0.13911810457189924</v>
      </c>
      <c r="G183">
        <f t="shared" si="50"/>
        <v>313.82356830735</v>
      </c>
      <c r="H183">
        <f t="shared" si="51"/>
        <v>-1.3576170445170532</v>
      </c>
      <c r="I183" s="109">
        <f t="shared" si="52"/>
        <v>14.048639738603061</v>
      </c>
      <c r="J183" s="109">
        <f t="shared" si="53"/>
        <v>-0.13911810457189924</v>
      </c>
    </row>
    <row r="184" spans="1:10" x14ac:dyDescent="0.25">
      <c r="A184">
        <v>177</v>
      </c>
      <c r="B184">
        <f t="shared" si="45"/>
        <v>3.0892327760299634</v>
      </c>
      <c r="C184" s="109">
        <f t="shared" si="46"/>
        <v>326.71186672774866</v>
      </c>
      <c r="D184" s="109">
        <f t="shared" si="47"/>
        <v>-1.3170283721218463</v>
      </c>
      <c r="E184" s="109">
        <f t="shared" si="48"/>
        <v>14.625597875712952</v>
      </c>
      <c r="F184" s="109">
        <f t="shared" si="49"/>
        <v>-0.13495889104882533</v>
      </c>
      <c r="G184">
        <f t="shared" si="50"/>
        <v>326.71186672774866</v>
      </c>
      <c r="H184">
        <f t="shared" si="51"/>
        <v>-1.3170283721218463</v>
      </c>
      <c r="I184" s="109">
        <f t="shared" si="52"/>
        <v>14.625597875712952</v>
      </c>
      <c r="J184" s="109">
        <f t="shared" si="53"/>
        <v>-0.13495889104882533</v>
      </c>
    </row>
    <row r="185" spans="1:10" x14ac:dyDescent="0.25">
      <c r="A185">
        <v>178</v>
      </c>
      <c r="B185">
        <f t="shared" si="45"/>
        <v>3.1066860685499069</v>
      </c>
      <c r="C185" s="109">
        <f t="shared" si="46"/>
        <v>339.72244094445284</v>
      </c>
      <c r="D185" s="109">
        <f t="shared" si="47"/>
        <v>-1.2755543954450175</v>
      </c>
      <c r="E185" s="109">
        <f t="shared" si="48"/>
        <v>15.208029816528258</v>
      </c>
      <c r="F185" s="109">
        <f t="shared" si="49"/>
        <v>-0.13070895838361482</v>
      </c>
      <c r="G185">
        <f t="shared" si="50"/>
        <v>339.72244094445284</v>
      </c>
      <c r="H185">
        <f t="shared" si="51"/>
        <v>-1.2755543954450175</v>
      </c>
      <c r="I185" s="109">
        <f t="shared" si="52"/>
        <v>15.208029816528258</v>
      </c>
      <c r="J185" s="109">
        <f t="shared" si="53"/>
        <v>-0.13070895838361482</v>
      </c>
    </row>
    <row r="186" spans="1:10" x14ac:dyDescent="0.25">
      <c r="A186">
        <v>179</v>
      </c>
      <c r="B186">
        <f t="shared" si="45"/>
        <v>3.12413936106985</v>
      </c>
      <c r="C186" s="109">
        <f t="shared" si="46"/>
        <v>352.8514403018869</v>
      </c>
      <c r="D186" s="109">
        <f t="shared" si="47"/>
        <v>-1.2332073787954632</v>
      </c>
      <c r="E186" s="109">
        <f t="shared" si="48"/>
        <v>15.795763182431173</v>
      </c>
      <c r="F186" s="109">
        <f t="shared" si="49"/>
        <v>-0.12636956332787849</v>
      </c>
      <c r="G186">
        <f t="shared" si="50"/>
        <v>352.8514403018869</v>
      </c>
      <c r="H186">
        <f t="shared" si="51"/>
        <v>-1.2332073787954632</v>
      </c>
      <c r="I186" s="109">
        <f t="shared" si="52"/>
        <v>15.795763182431173</v>
      </c>
      <c r="J186" s="109">
        <f t="shared" si="53"/>
        <v>-0.12636956332787849</v>
      </c>
    </row>
    <row r="187" spans="1:10" x14ac:dyDescent="0.25">
      <c r="A187">
        <v>180</v>
      </c>
      <c r="B187">
        <f t="shared" si="45"/>
        <v>3.1415926535897931</v>
      </c>
      <c r="C187" s="109">
        <f t="shared" si="46"/>
        <v>366.09493308819401</v>
      </c>
      <c r="D187" s="109">
        <f t="shared" si="47"/>
        <v>-1.1900000000000002</v>
      </c>
      <c r="E187" s="109">
        <f t="shared" si="48"/>
        <v>16.388621966234822</v>
      </c>
      <c r="F187" s="109">
        <f t="shared" si="49"/>
        <v>-0.12194200500734846</v>
      </c>
      <c r="G187">
        <f t="shared" si="50"/>
        <v>366.09493308819401</v>
      </c>
      <c r="H187">
        <f t="shared" si="51"/>
        <v>-1.1900000000000002</v>
      </c>
      <c r="I187" s="109">
        <f t="shared" si="52"/>
        <v>16.388621966234822</v>
      </c>
      <c r="J187" s="109">
        <f t="shared" si="53"/>
        <v>-0.12194200500734846</v>
      </c>
    </row>
    <row r="188" spans="1:10" x14ac:dyDescent="0.25">
      <c r="C188" s="109"/>
      <c r="D188" s="109"/>
      <c r="E188" s="109"/>
      <c r="F188" s="109"/>
    </row>
    <row r="189" spans="1:10" x14ac:dyDescent="0.25">
      <c r="A189" t="s">
        <v>214</v>
      </c>
      <c r="B189">
        <f>MAX(E187,I187)</f>
        <v>16.388621966234822</v>
      </c>
      <c r="C189" s="109">
        <f>B189</f>
        <v>16.388621966234822</v>
      </c>
      <c r="D189" s="109"/>
      <c r="E189" s="109"/>
      <c r="F189" s="109"/>
    </row>
    <row r="190" spans="1:10" x14ac:dyDescent="0.25">
      <c r="A190" t="s">
        <v>217</v>
      </c>
      <c r="B190">
        <f>MAX(F187,J187)</f>
        <v>-0.12194200500734846</v>
      </c>
      <c r="C190" s="109">
        <f>B190</f>
        <v>-0.12194200500734846</v>
      </c>
      <c r="D190" s="109"/>
      <c r="E190" s="109"/>
      <c r="F190" s="109"/>
    </row>
    <row r="191" spans="1:10" x14ac:dyDescent="0.25">
      <c r="C191" s="109"/>
      <c r="D191" s="109"/>
      <c r="E191" s="109"/>
      <c r="F191" s="109"/>
    </row>
    <row r="192" spans="1:10" ht="60" x14ac:dyDescent="0.25">
      <c r="A192" s="15" t="s">
        <v>199</v>
      </c>
      <c r="B192" s="15" t="s">
        <v>198</v>
      </c>
      <c r="C192" s="109" t="s">
        <v>63</v>
      </c>
      <c r="D192" s="109" t="s">
        <v>200</v>
      </c>
      <c r="E192" s="110" t="s">
        <v>215</v>
      </c>
      <c r="F192" s="110" t="s">
        <v>216</v>
      </c>
      <c r="G192" s="109" t="s">
        <v>63</v>
      </c>
      <c r="H192" s="109" t="s">
        <v>200</v>
      </c>
      <c r="I192" s="110" t="s">
        <v>215</v>
      </c>
      <c r="J192" s="110" t="s">
        <v>216</v>
      </c>
    </row>
    <row r="193" spans="1:10" x14ac:dyDescent="0.25">
      <c r="A193">
        <v>0</v>
      </c>
      <c r="B193">
        <f t="shared" ref="B193:B224" si="54">A193*PI()/180</f>
        <v>0</v>
      </c>
      <c r="C193" s="109" t="e">
        <f t="shared" ref="C193:C224" si="55">IF(Load_Case=1,(0.0796*FA_SUS*D*0.5)-(0.238*FA_SUS*D*0.5*(1-COS(B193)))+(FA_SUS*0.5*D/PI())*(1-COS(B193)-B193*SIN(B193)*0.5),NA())</f>
        <v>#N/A</v>
      </c>
      <c r="D193" s="109" t="e">
        <f t="shared" ref="D193:D224" si="56">IF(Load_Case=1,0.238*FA_SUS*COS(B193)-(FA_SUS/(2*PI()))*B193*SIN(B193),NA())</f>
        <v>#N/A</v>
      </c>
      <c r="E193" s="109" t="e">
        <f t="shared" ref="E193:E224" si="57">0.000001*C193/Z_BareRoark</f>
        <v>#N/A</v>
      </c>
      <c r="F193" s="109" t="e">
        <f t="shared" ref="F193:F224" si="58">D193*1000/(beff_Bare_Roark*Tnet_Bare_Roark)</f>
        <v>#N/A</v>
      </c>
      <c r="G193" s="109">
        <f t="shared" ref="G193:G224" si="59">IF(Load_Case=2,(0.0796*FA_EXP*D*0.5)-(0.238*FA_EXP*D*0.5*(1-COS(B193)))+(FA_EXP*0.5*D/PI())*(1-COS(B193)-B193*SIN(B193)*0.5),NA())</f>
        <v>121.31040000000002</v>
      </c>
      <c r="H193" s="109">
        <f t="shared" ref="H193:H224" si="60">IF(Load_Case=2,0.238*FA_EXP*COS(B193)-(FA_EXP/(2*PI()))*B193*SIN(B193),NA())</f>
        <v>1.19</v>
      </c>
      <c r="I193" s="109">
        <f t="shared" ref="I193:I224" si="61">0.000001*G193/Z_BareRoark</f>
        <v>5.4305867317037899</v>
      </c>
      <c r="J193" s="109">
        <f t="shared" ref="J193:J224" si="62">H193*1000/(beff_Bare_Roark*Tnet_Bare_Roark)</f>
        <v>0.12194200500734843</v>
      </c>
    </row>
    <row r="194" spans="1:10" x14ac:dyDescent="0.25">
      <c r="A194">
        <v>1</v>
      </c>
      <c r="B194">
        <f t="shared" si="54"/>
        <v>1.7453292519943295E-2</v>
      </c>
      <c r="C194" s="109" t="e">
        <f t="shared" si="55"/>
        <v>#N/A</v>
      </c>
      <c r="D194" s="109" t="e">
        <f t="shared" si="56"/>
        <v>#N/A</v>
      </c>
      <c r="E194" s="109" t="e">
        <f t="shared" si="57"/>
        <v>#N/A</v>
      </c>
      <c r="F194" s="109" t="e">
        <f t="shared" si="58"/>
        <v>#N/A</v>
      </c>
      <c r="G194" s="109">
        <f t="shared" si="59"/>
        <v>121.2551590810971</v>
      </c>
      <c r="H194" s="109">
        <f t="shared" si="60"/>
        <v>1.1895763627022544</v>
      </c>
      <c r="I194" s="109">
        <f t="shared" si="61"/>
        <v>5.4281138142849921</v>
      </c>
      <c r="J194" s="109">
        <f t="shared" si="62"/>
        <v>0.12189859393047198</v>
      </c>
    </row>
    <row r="195" spans="1:10" x14ac:dyDescent="0.25">
      <c r="A195">
        <v>2</v>
      </c>
      <c r="B195">
        <f t="shared" si="54"/>
        <v>3.4906585039886591E-2</v>
      </c>
      <c r="C195" s="109" t="e">
        <f t="shared" si="55"/>
        <v>#N/A</v>
      </c>
      <c r="D195" s="109" t="e">
        <f t="shared" si="56"/>
        <v>#N/A</v>
      </c>
      <c r="E195" s="109" t="e">
        <f t="shared" si="57"/>
        <v>#N/A</v>
      </c>
      <c r="F195" s="109" t="e">
        <f t="shared" si="58"/>
        <v>#N/A</v>
      </c>
      <c r="G195" s="109">
        <f t="shared" si="59"/>
        <v>121.08947565643579</v>
      </c>
      <c r="H195" s="109">
        <f t="shared" si="60"/>
        <v>1.1883056536887657</v>
      </c>
      <c r="I195" s="109">
        <f t="shared" si="61"/>
        <v>5.4206968227687753</v>
      </c>
      <c r="J195" s="109">
        <f t="shared" si="62"/>
        <v>0.12176838148939152</v>
      </c>
    </row>
    <row r="196" spans="1:10" x14ac:dyDescent="0.25">
      <c r="A196">
        <v>3</v>
      </c>
      <c r="B196">
        <f t="shared" si="54"/>
        <v>5.2359877559829883E-2</v>
      </c>
      <c r="C196" s="109" t="e">
        <f t="shared" si="55"/>
        <v>#N/A</v>
      </c>
      <c r="D196" s="109" t="e">
        <f t="shared" si="56"/>
        <v>#N/A</v>
      </c>
      <c r="E196" s="109" t="e">
        <f t="shared" si="57"/>
        <v>#N/A</v>
      </c>
      <c r="F196" s="109" t="e">
        <f t="shared" si="58"/>
        <v>#N/A</v>
      </c>
      <c r="G196" s="109">
        <f t="shared" si="59"/>
        <v>120.81346770332225</v>
      </c>
      <c r="H196" s="109">
        <f t="shared" si="60"/>
        <v>1.186188481514487</v>
      </c>
      <c r="I196" s="109">
        <f t="shared" si="61"/>
        <v>5.4083410385324422</v>
      </c>
      <c r="J196" s="109">
        <f t="shared" si="62"/>
        <v>0.12155143004411648</v>
      </c>
    </row>
    <row r="197" spans="1:10" x14ac:dyDescent="0.25">
      <c r="A197">
        <v>4</v>
      </c>
      <c r="B197">
        <f t="shared" si="54"/>
        <v>6.9813170079773182E-2</v>
      </c>
      <c r="C197" s="109" t="e">
        <f t="shared" si="55"/>
        <v>#N/A</v>
      </c>
      <c r="D197" s="109" t="e">
        <f t="shared" si="56"/>
        <v>#N/A</v>
      </c>
      <c r="E197" s="109" t="e">
        <f t="shared" si="57"/>
        <v>#N/A</v>
      </c>
      <c r="F197" s="109" t="e">
        <f t="shared" si="58"/>
        <v>#N/A</v>
      </c>
      <c r="G197" s="109">
        <f t="shared" si="59"/>
        <v>120.42733178782045</v>
      </c>
      <c r="H197" s="109">
        <f t="shared" si="60"/>
        <v>1.1832258601567394</v>
      </c>
      <c r="I197" s="109">
        <f t="shared" si="61"/>
        <v>5.3910552610611102</v>
      </c>
      <c r="J197" s="109">
        <f t="shared" si="62"/>
        <v>0.12124784349920779</v>
      </c>
    </row>
    <row r="198" spans="1:10" x14ac:dyDescent="0.25">
      <c r="A198">
        <v>5</v>
      </c>
      <c r="B198">
        <f t="shared" si="54"/>
        <v>8.7266462599716474E-2</v>
      </c>
      <c r="C198" s="109" t="e">
        <f t="shared" si="55"/>
        <v>#N/A</v>
      </c>
      <c r="D198" s="109" t="e">
        <f t="shared" si="56"/>
        <v>#N/A</v>
      </c>
      <c r="E198" s="109" t="e">
        <f t="shared" si="57"/>
        <v>#N/A</v>
      </c>
      <c r="F198" s="109" t="e">
        <f t="shared" si="58"/>
        <v>#N/A</v>
      </c>
      <c r="G198" s="109">
        <f t="shared" si="59"/>
        <v>119.93134297061043</v>
      </c>
      <c r="H198" s="109">
        <f t="shared" si="60"/>
        <v>1.179419208593923</v>
      </c>
      <c r="I198" s="109">
        <f t="shared" si="61"/>
        <v>5.3688518037333441</v>
      </c>
      <c r="J198" s="109">
        <f t="shared" si="62"/>
        <v>0.12085776726060764</v>
      </c>
    </row>
    <row r="199" spans="1:10" x14ac:dyDescent="0.25">
      <c r="A199">
        <v>6</v>
      </c>
      <c r="B199">
        <f t="shared" si="54"/>
        <v>0.10471975511965977</v>
      </c>
      <c r="C199" s="109" t="e">
        <f t="shared" si="55"/>
        <v>#N/A</v>
      </c>
      <c r="D199" s="109" t="e">
        <f t="shared" si="56"/>
        <v>#N/A</v>
      </c>
      <c r="E199" s="109" t="e">
        <f t="shared" si="57"/>
        <v>#N/A</v>
      </c>
      <c r="F199" s="109" t="e">
        <f t="shared" si="58"/>
        <v>#N/A</v>
      </c>
      <c r="G199" s="109">
        <f t="shared" si="59"/>
        <v>119.32585467524436</v>
      </c>
      <c r="H199" s="109">
        <f t="shared" si="60"/>
        <v>1.1747703502159406</v>
      </c>
      <c r="I199" s="109">
        <f t="shared" si="61"/>
        <v>5.3417464879235137</v>
      </c>
      <c r="J199" s="109">
        <f t="shared" si="62"/>
        <v>0.12038138817522412</v>
      </c>
    </row>
    <row r="200" spans="1:10" x14ac:dyDescent="0.25">
      <c r="A200">
        <v>7</v>
      </c>
      <c r="B200">
        <f t="shared" si="54"/>
        <v>0.12217304763960307</v>
      </c>
      <c r="C200" s="109" t="e">
        <f t="shared" si="55"/>
        <v>#N/A</v>
      </c>
      <c r="D200" s="109" t="e">
        <f t="shared" si="56"/>
        <v>#N/A</v>
      </c>
      <c r="E200" s="109" t="e">
        <f t="shared" si="57"/>
        <v>#N/A</v>
      </c>
      <c r="F200" s="109" t="e">
        <f t="shared" si="58"/>
        <v>#N/A</v>
      </c>
      <c r="G200" s="109">
        <f t="shared" si="59"/>
        <v>118.61129851885541</v>
      </c>
      <c r="H200" s="109">
        <f t="shared" si="60"/>
        <v>1.1692815120665616</v>
      </c>
      <c r="I200" s="109">
        <f t="shared" si="61"/>
        <v>5.3097586354232904</v>
      </c>
      <c r="J200" s="109">
        <f t="shared" si="62"/>
        <v>0.11981893445329463</v>
      </c>
    </row>
    <row r="201" spans="1:10" x14ac:dyDescent="0.25">
      <c r="A201">
        <v>8</v>
      </c>
      <c r="B201">
        <f t="shared" si="54"/>
        <v>0.13962634015954636</v>
      </c>
      <c r="C201" s="109" t="e">
        <f t="shared" si="55"/>
        <v>#N/A</v>
      </c>
      <c r="D201" s="109" t="e">
        <f t="shared" si="56"/>
        <v>#N/A</v>
      </c>
      <c r="E201" s="109" t="e">
        <f t="shared" si="57"/>
        <v>#N/A</v>
      </c>
      <c r="F201" s="109" t="e">
        <f t="shared" si="58"/>
        <v>#N/A</v>
      </c>
      <c r="G201" s="109">
        <f t="shared" si="59"/>
        <v>117.78818410538969</v>
      </c>
      <c r="H201" s="109">
        <f t="shared" si="60"/>
        <v>1.162955323918017</v>
      </c>
      <c r="I201" s="109">
        <f t="shared" si="61"/>
        <v>5.2729110591854651</v>
      </c>
      <c r="J201" s="109">
        <f t="shared" si="62"/>
        <v>0.11917067557355744</v>
      </c>
    </row>
    <row r="202" spans="1:10" x14ac:dyDescent="0.25">
      <c r="A202">
        <v>9</v>
      </c>
      <c r="B202">
        <f t="shared" si="54"/>
        <v>0.15707963267948966</v>
      </c>
      <c r="C202" s="109" t="e">
        <f t="shared" si="55"/>
        <v>#N/A</v>
      </c>
      <c r="D202" s="109" t="e">
        <f t="shared" si="56"/>
        <v>#N/A</v>
      </c>
      <c r="E202" s="109" t="e">
        <f t="shared" si="57"/>
        <v>#N/A</v>
      </c>
      <c r="F202" s="109" t="e">
        <f t="shared" si="58"/>
        <v>#N/A</v>
      </c>
      <c r="G202" s="109">
        <f t="shared" si="59"/>
        <v>116.85709878144725</v>
      </c>
      <c r="H202" s="109">
        <f t="shared" si="60"/>
        <v>1.1557948171781851</v>
      </c>
      <c r="I202" s="109">
        <f t="shared" si="61"/>
        <v>5.2312300523939124</v>
      </c>
      <c r="J202" s="109">
        <f t="shared" si="62"/>
        <v>0.1184369221712686</v>
      </c>
    </row>
    <row r="203" spans="1:10" x14ac:dyDescent="0.25">
      <c r="A203">
        <v>10</v>
      </c>
      <c r="B203">
        <f t="shared" si="54"/>
        <v>0.17453292519943295</v>
      </c>
      <c r="C203" s="109" t="e">
        <f t="shared" si="55"/>
        <v>#N/A</v>
      </c>
      <c r="D203" s="109" t="e">
        <f t="shared" si="56"/>
        <v>#N/A</v>
      </c>
      <c r="E203" s="109" t="e">
        <f t="shared" si="57"/>
        <v>#N/A</v>
      </c>
      <c r="F203" s="109" t="e">
        <f t="shared" si="58"/>
        <v>#N/A</v>
      </c>
      <c r="G203" s="109">
        <f t="shared" si="59"/>
        <v>115.81870735483355</v>
      </c>
      <c r="H203" s="109">
        <f t="shared" si="60"/>
        <v>1.1478034236307872</v>
      </c>
      <c r="I203" s="109">
        <f t="shared" si="61"/>
        <v>5.1847453758642548</v>
      </c>
      <c r="J203" s="109">
        <f t="shared" si="62"/>
        <v>0.11761802590910683</v>
      </c>
    </row>
    <row r="204" spans="1:10" x14ac:dyDescent="0.25">
      <c r="A204">
        <v>11</v>
      </c>
      <c r="B204">
        <f t="shared" si="54"/>
        <v>0.19198621771937624</v>
      </c>
      <c r="C204" s="109" t="e">
        <f t="shared" si="55"/>
        <v>#N/A</v>
      </c>
      <c r="D204" s="109" t="e">
        <f t="shared" si="56"/>
        <v>#N/A</v>
      </c>
      <c r="E204" s="109" t="e">
        <f t="shared" si="57"/>
        <v>#N/A</v>
      </c>
      <c r="F204" s="109" t="e">
        <f t="shared" si="58"/>
        <v>#N/A</v>
      </c>
      <c r="G204" s="109">
        <f t="shared" si="59"/>
        <v>114.67375177593823</v>
      </c>
      <c r="H204" s="109">
        <f t="shared" si="60"/>
        <v>1.1389849740090812</v>
      </c>
      <c r="I204" s="109">
        <f t="shared" si="61"/>
        <v>5.1334902437804502</v>
      </c>
      <c r="J204" s="109">
        <f t="shared" si="62"/>
        <v>0.11671437933101682</v>
      </c>
    </row>
    <row r="205" spans="1:10" x14ac:dyDescent="0.25">
      <c r="A205">
        <v>12</v>
      </c>
      <c r="B205">
        <f t="shared" si="54"/>
        <v>0.20943951023931953</v>
      </c>
      <c r="C205" s="109" t="e">
        <f t="shared" si="55"/>
        <v>#N/A</v>
      </c>
      <c r="D205" s="109" t="e">
        <f t="shared" si="56"/>
        <v>#N/A</v>
      </c>
      <c r="E205" s="109" t="e">
        <f t="shared" si="57"/>
        <v>#N/A</v>
      </c>
      <c r="F205" s="109" t="e">
        <f t="shared" si="58"/>
        <v>#N/A</v>
      </c>
      <c r="G205" s="109">
        <f t="shared" si="59"/>
        <v>113.42305078207393</v>
      </c>
      <c r="H205" s="109">
        <f t="shared" si="60"/>
        <v>1.1293436964036021</v>
      </c>
      <c r="I205" s="109">
        <f t="shared" si="61"/>
        <v>5.0775013077732476</v>
      </c>
      <c r="J205" s="109">
        <f t="shared" si="62"/>
        <v>0.11572641569904658</v>
      </c>
    </row>
    <row r="206" spans="1:10" x14ac:dyDescent="0.25">
      <c r="A206">
        <v>13</v>
      </c>
      <c r="B206">
        <f t="shared" si="54"/>
        <v>0.22689280275926285</v>
      </c>
      <c r="C206" s="109" t="e">
        <f t="shared" si="55"/>
        <v>#N/A</v>
      </c>
      <c r="D206" s="109" t="e">
        <f t="shared" si="56"/>
        <v>#N/A</v>
      </c>
      <c r="E206" s="109" t="e">
        <f t="shared" si="57"/>
        <v>#N/A</v>
      </c>
      <c r="F206" s="109" t="e">
        <f t="shared" si="58"/>
        <v>#N/A</v>
      </c>
      <c r="G206" s="109">
        <f t="shared" si="59"/>
        <v>112.06749950492274</v>
      </c>
      <c r="H206" s="109">
        <f t="shared" si="60"/>
        <v>1.1188842145045654</v>
      </c>
      <c r="I206" s="109">
        <f t="shared" si="61"/>
        <v>5.0168186393471164</v>
      </c>
      <c r="J206" s="109">
        <f t="shared" si="62"/>
        <v>0.11465460881324273</v>
      </c>
    </row>
    <row r="207" spans="1:10" x14ac:dyDescent="0.25">
      <c r="A207">
        <v>14</v>
      </c>
      <c r="B207">
        <f t="shared" si="54"/>
        <v>0.24434609527920614</v>
      </c>
      <c r="C207" s="109" t="e">
        <f t="shared" si="55"/>
        <v>#N/A</v>
      </c>
      <c r="D207" s="109" t="e">
        <f t="shared" si="56"/>
        <v>#N/A</v>
      </c>
      <c r="E207" s="109" t="e">
        <f t="shared" si="57"/>
        <v>#N/A</v>
      </c>
      <c r="F207" s="109" t="e">
        <f t="shared" si="58"/>
        <v>#N/A</v>
      </c>
      <c r="G207" s="109">
        <f t="shared" si="59"/>
        <v>110.60806904125343</v>
      </c>
      <c r="H207" s="109">
        <f t="shared" si="60"/>
        <v>1.1076115456796114</v>
      </c>
      <c r="I207" s="109">
        <f t="shared" si="61"/>
        <v>4.9514857106629568</v>
      </c>
      <c r="J207" s="109">
        <f t="shared" si="62"/>
        <v>0.11349947281467238</v>
      </c>
    </row>
    <row r="208" spans="1:10" x14ac:dyDescent="0.25">
      <c r="A208">
        <v>15</v>
      </c>
      <c r="B208">
        <f t="shared" si="54"/>
        <v>0.26179938779914941</v>
      </c>
      <c r="C208" s="109" t="e">
        <f t="shared" si="55"/>
        <v>#N/A</v>
      </c>
      <c r="D208" s="109" t="e">
        <f t="shared" si="56"/>
        <v>#N/A</v>
      </c>
      <c r="E208" s="109" t="e">
        <f t="shared" si="57"/>
        <v>#N/A</v>
      </c>
      <c r="F208" s="109" t="e">
        <f t="shared" si="58"/>
        <v>#N/A</v>
      </c>
      <c r="G208" s="109">
        <f t="shared" si="59"/>
        <v>109.04580598708816</v>
      </c>
      <c r="H208" s="109">
        <f t="shared" si="60"/>
        <v>1.0955310988876328</v>
      </c>
      <c r="I208" s="109">
        <f t="shared" si="61"/>
        <v>4.8815493736845861</v>
      </c>
      <c r="J208" s="109">
        <f t="shared" si="62"/>
        <v>0.11226156197164845</v>
      </c>
    </row>
    <row r="209" spans="1:10" x14ac:dyDescent="0.25">
      <c r="A209">
        <v>16</v>
      </c>
      <c r="B209">
        <f t="shared" si="54"/>
        <v>0.27925268031909273</v>
      </c>
      <c r="C209" s="109" t="e">
        <f t="shared" si="55"/>
        <v>#N/A</v>
      </c>
      <c r="D209" s="109" t="e">
        <f t="shared" si="56"/>
        <v>#N/A</v>
      </c>
      <c r="E209" s="109" t="e">
        <f t="shared" si="57"/>
        <v>#N/A</v>
      </c>
      <c r="F209" s="109" t="e">
        <f t="shared" si="58"/>
        <v>#N/A</v>
      </c>
      <c r="G209" s="109">
        <f t="shared" si="59"/>
        <v>107.38183193551215</v>
      </c>
      <c r="H209" s="109">
        <f t="shared" si="60"/>
        <v>1.0826486724294884</v>
      </c>
      <c r="I209" s="109">
        <f t="shared" si="61"/>
        <v>4.8070598376976621</v>
      </c>
      <c r="J209" s="109">
        <f t="shared" si="62"/>
        <v>0.11094147044924017</v>
      </c>
    </row>
    <row r="210" spans="1:10" x14ac:dyDescent="0.25">
      <c r="A210">
        <v>17</v>
      </c>
      <c r="B210">
        <f t="shared" si="54"/>
        <v>0.29670597283903605</v>
      </c>
      <c r="C210" s="109" t="e">
        <f t="shared" si="55"/>
        <v>#N/A</v>
      </c>
      <c r="D210" s="109" t="e">
        <f t="shared" si="56"/>
        <v>#N/A</v>
      </c>
      <c r="E210" s="109" t="e">
        <f t="shared" si="57"/>
        <v>#N/A</v>
      </c>
      <c r="F210" s="109" t="e">
        <f t="shared" si="58"/>
        <v>#N/A</v>
      </c>
      <c r="G210" s="109">
        <f t="shared" si="59"/>
        <v>105.61734293833526</v>
      </c>
      <c r="H210" s="109">
        <f t="shared" si="60"/>
        <v>1.0689704515364771</v>
      </c>
      <c r="I210" s="109">
        <f t="shared" si="61"/>
        <v>4.7280706452104058</v>
      </c>
      <c r="J210" s="109">
        <f t="shared" si="62"/>
        <v>0.1095398320621585</v>
      </c>
    </row>
    <row r="211" spans="1:10" x14ac:dyDescent="0.25">
      <c r="A211">
        <v>18</v>
      </c>
      <c r="B211">
        <f t="shared" si="54"/>
        <v>0.31415926535897931</v>
      </c>
      <c r="C211" s="109" t="e">
        <f t="shared" si="55"/>
        <v>#N/A</v>
      </c>
      <c r="D211" s="109" t="e">
        <f t="shared" si="56"/>
        <v>#N/A</v>
      </c>
      <c r="E211" s="109" t="e">
        <f t="shared" si="57"/>
        <v>#N/A</v>
      </c>
      <c r="F211" s="109" t="e">
        <f t="shared" si="58"/>
        <v>#N/A</v>
      </c>
      <c r="G211" s="109">
        <f t="shared" si="59"/>
        <v>103.75360893182926</v>
      </c>
      <c r="H211" s="109">
        <f t="shared" si="60"/>
        <v>1.0545030057974958</v>
      </c>
      <c r="I211" s="109">
        <f t="shared" si="61"/>
        <v>4.6446386462461238</v>
      </c>
      <c r="J211" s="109">
        <f t="shared" si="62"/>
        <v>0.10805732001111108</v>
      </c>
    </row>
    <row r="212" spans="1:10" x14ac:dyDescent="0.25">
      <c r="A212">
        <v>19</v>
      </c>
      <c r="B212">
        <f t="shared" si="54"/>
        <v>0.33161255787892258</v>
      </c>
      <c r="C212" s="109" t="e">
        <f t="shared" si="55"/>
        <v>#N/A</v>
      </c>
      <c r="D212" s="109" t="e">
        <f t="shared" si="56"/>
        <v>#N/A</v>
      </c>
      <c r="E212" s="109" t="e">
        <f t="shared" si="57"/>
        <v>#N/A</v>
      </c>
      <c r="F212" s="109" t="e">
        <f t="shared" si="58"/>
        <v>#N/A</v>
      </c>
      <c r="G212" s="109">
        <f t="shared" si="59"/>
        <v>101.79197312677987</v>
      </c>
      <c r="H212" s="109">
        <f t="shared" si="60"/>
        <v>1.0392532864258819</v>
      </c>
      <c r="I212" s="109">
        <f t="shared" si="61"/>
        <v>4.5568239710382574</v>
      </c>
      <c r="J212" s="109">
        <f t="shared" si="62"/>
        <v>0.10649464660272959</v>
      </c>
    </row>
    <row r="213" spans="1:10" x14ac:dyDescent="0.25">
      <c r="A213">
        <v>20</v>
      </c>
      <c r="B213">
        <f t="shared" si="54"/>
        <v>0.3490658503988659</v>
      </c>
      <c r="C213" s="109" t="e">
        <f t="shared" si="55"/>
        <v>#N/A</v>
      </c>
      <c r="D213" s="109" t="e">
        <f t="shared" si="56"/>
        <v>#N/A</v>
      </c>
      <c r="E213" s="109" t="e">
        <f t="shared" si="57"/>
        <v>#N/A</v>
      </c>
      <c r="F213" s="109" t="e">
        <f t="shared" si="58"/>
        <v>#N/A</v>
      </c>
      <c r="G213" s="109">
        <f t="shared" si="59"/>
        <v>99.733851363107107</v>
      </c>
      <c r="H213" s="109">
        <f t="shared" si="60"/>
        <v>1.0232286233669896</v>
      </c>
      <c r="I213" s="109">
        <f t="shared" si="61"/>
        <v>4.4646900011392869</v>
      </c>
      <c r="J213" s="109">
        <f t="shared" si="62"/>
        <v>0.10485256295317621</v>
      </c>
    </row>
    <row r="214" spans="1:10" x14ac:dyDescent="0.25">
      <c r="A214">
        <v>21</v>
      </c>
      <c r="B214">
        <f t="shared" si="54"/>
        <v>0.36651914291880922</v>
      </c>
      <c r="C214" s="109" t="e">
        <f t="shared" si="55"/>
        <v>#N/A</v>
      </c>
      <c r="D214" s="109" t="e">
        <f t="shared" si="56"/>
        <v>#N/A</v>
      </c>
      <c r="E214" s="109" t="e">
        <f t="shared" si="57"/>
        <v>#N/A</v>
      </c>
      <c r="F214" s="109" t="e">
        <f t="shared" si="58"/>
        <v>#N/A</v>
      </c>
      <c r="G214" s="109">
        <f t="shared" si="59"/>
        <v>97.580731429322555</v>
      </c>
      <c r="H214" s="109">
        <f t="shared" si="60"/>
        <v>1.0064367222476243</v>
      </c>
      <c r="I214" s="109">
        <f t="shared" si="61"/>
        <v>4.3683033389555224</v>
      </c>
      <c r="J214" s="109">
        <f t="shared" si="62"/>
        <v>0.1031318586755455</v>
      </c>
    </row>
    <row r="215" spans="1:10" x14ac:dyDescent="0.25">
      <c r="A215">
        <v>22</v>
      </c>
      <c r="B215">
        <f t="shared" si="54"/>
        <v>0.38397243543875248</v>
      </c>
      <c r="C215" s="109" t="e">
        <f t="shared" si="55"/>
        <v>#N/A</v>
      </c>
      <c r="D215" s="109" t="e">
        <f t="shared" si="56"/>
        <v>#N/A</v>
      </c>
      <c r="E215" s="109" t="e">
        <f t="shared" si="57"/>
        <v>#N/A</v>
      </c>
      <c r="F215" s="109" t="e">
        <f t="shared" si="58"/>
        <v>#N/A</v>
      </c>
      <c r="G215" s="109">
        <f t="shared" si="59"/>
        <v>95.3341723471069</v>
      </c>
      <c r="H215" s="109">
        <f t="shared" si="60"/>
        <v>0.98888566116850374</v>
      </c>
      <c r="I215" s="109">
        <f t="shared" si="61"/>
        <v>4.2677337757204743</v>
      </c>
      <c r="J215" s="109">
        <f t="shared" si="62"/>
        <v>0.10133336155118046</v>
      </c>
    </row>
    <row r="216" spans="1:10" x14ac:dyDescent="0.25">
      <c r="A216">
        <v>23</v>
      </c>
      <c r="B216">
        <f t="shared" si="54"/>
        <v>0.40142572795869574</v>
      </c>
      <c r="C216" s="109" t="e">
        <f t="shared" si="55"/>
        <v>#N/A</v>
      </c>
      <c r="D216" s="109" t="e">
        <f t="shared" si="56"/>
        <v>#N/A</v>
      </c>
      <c r="E216" s="109" t="e">
        <f t="shared" si="57"/>
        <v>#N/A</v>
      </c>
      <c r="F216" s="109" t="e">
        <f t="shared" si="58"/>
        <v>#N/A</v>
      </c>
      <c r="G216" s="109">
        <f t="shared" si="59"/>
        <v>92.99580362130537</v>
      </c>
      <c r="H216" s="109">
        <f t="shared" si="60"/>
        <v>0.97058388734099721</v>
      </c>
      <c r="I216" s="109">
        <f t="shared" si="61"/>
        <v>4.1630542579201135</v>
      </c>
      <c r="J216" s="109">
        <f t="shared" si="62"/>
        <v>9.9457937185031584E-2</v>
      </c>
    </row>
    <row r="217" spans="1:10" x14ac:dyDescent="0.25">
      <c r="A217">
        <v>24</v>
      </c>
      <c r="B217">
        <f t="shared" si="54"/>
        <v>0.41887902047863906</v>
      </c>
      <c r="C217" s="109" t="e">
        <f t="shared" si="55"/>
        <v>#N/A</v>
      </c>
      <c r="D217" s="109" t="e">
        <f t="shared" si="56"/>
        <v>#N/A</v>
      </c>
      <c r="E217" s="109" t="e">
        <f t="shared" si="57"/>
        <v>#N/A</v>
      </c>
      <c r="F217" s="109" t="e">
        <f t="shared" si="58"/>
        <v>#N/A</v>
      </c>
      <c r="G217" s="109">
        <f t="shared" si="59"/>
        <v>90.567324455653434</v>
      </c>
      <c r="H217" s="109">
        <f t="shared" si="60"/>
        <v>0.95154021356942819</v>
      </c>
      <c r="I217" s="109">
        <f t="shared" si="61"/>
        <v>4.0543408521840139</v>
      </c>
      <c r="J217" s="109">
        <f t="shared" si="62"/>
        <v>9.7506488645190431E-2</v>
      </c>
    </row>
    <row r="218" spans="1:10" x14ac:dyDescent="0.25">
      <c r="A218">
        <v>25</v>
      </c>
      <c r="B218">
        <f t="shared" si="54"/>
        <v>0.43633231299858238</v>
      </c>
      <c r="C218" s="109" t="e">
        <f t="shared" si="55"/>
        <v>#N/A</v>
      </c>
      <c r="D218" s="109" t="e">
        <f t="shared" si="56"/>
        <v>#N/A</v>
      </c>
      <c r="E218" s="109" t="e">
        <f t="shared" si="57"/>
        <v>#N/A</v>
      </c>
      <c r="F218" s="109" t="e">
        <f t="shared" si="58"/>
        <v>#N/A</v>
      </c>
      <c r="G218" s="109">
        <f t="shared" si="59"/>
        <v>88.050502934559304</v>
      </c>
      <c r="H218" s="109">
        <f t="shared" si="60"/>
        <v>0.93176381458031488</v>
      </c>
      <c r="I218" s="109">
        <f t="shared" si="61"/>
        <v>3.9416727086569932</v>
      </c>
      <c r="J218" s="109">
        <f t="shared" si="62"/>
        <v>9.547995608673851E-2</v>
      </c>
    </row>
    <row r="219" spans="1:10" x14ac:dyDescent="0.25">
      <c r="A219">
        <v>26</v>
      </c>
      <c r="B219">
        <f t="shared" si="54"/>
        <v>0.4537856055185257</v>
      </c>
      <c r="C219" s="109" t="e">
        <f t="shared" si="55"/>
        <v>#N/A</v>
      </c>
      <c r="D219" s="109" t="e">
        <f t="shared" si="56"/>
        <v>#N/A</v>
      </c>
      <c r="E219" s="109" t="e">
        <f t="shared" si="57"/>
        <v>#N/A</v>
      </c>
      <c r="F219" s="109" t="e">
        <f t="shared" si="58"/>
        <v>#N/A</v>
      </c>
      <c r="G219" s="109">
        <f t="shared" si="59"/>
        <v>85.44717517128413</v>
      </c>
      <c r="H219" s="109">
        <f t="shared" si="60"/>
        <v>0.91126422319995293</v>
      </c>
      <c r="I219" s="109">
        <f t="shared" si="61"/>
        <v>3.8251320228665069</v>
      </c>
      <c r="J219" s="109">
        <f t="shared" si="62"/>
        <v>9.3379316360055573E-2</v>
      </c>
    </row>
    <row r="220" spans="1:10" x14ac:dyDescent="0.25">
      <c r="A220">
        <v>27</v>
      </c>
      <c r="B220">
        <f t="shared" si="54"/>
        <v>0.47123889803846897</v>
      </c>
      <c r="C220" s="109" t="e">
        <f t="shared" si="55"/>
        <v>#N/A</v>
      </c>
      <c r="D220" s="109" t="e">
        <f t="shared" si="56"/>
        <v>#N/A</v>
      </c>
      <c r="E220" s="109" t="e">
        <f t="shared" si="57"/>
        <v>#N/A</v>
      </c>
      <c r="F220" s="109" t="e">
        <f t="shared" si="58"/>
        <v>#N/A</v>
      </c>
      <c r="G220" s="109">
        <f t="shared" si="59"/>
        <v>82.759244422874687</v>
      </c>
      <c r="H220" s="109">
        <f t="shared" si="60"/>
        <v>0.89005132638182771</v>
      </c>
      <c r="I220" s="109">
        <f t="shared" si="61"/>
        <v>3.704803996101687</v>
      </c>
      <c r="J220" s="109">
        <f t="shared" si="62"/>
        <v>9.1205582603739455E-2</v>
      </c>
    </row>
    <row r="221" spans="1:10" x14ac:dyDescent="0.25">
      <c r="A221">
        <v>28</v>
      </c>
      <c r="B221">
        <f t="shared" si="54"/>
        <v>0.48869219055841229</v>
      </c>
      <c r="C221" s="109" t="e">
        <f t="shared" si="55"/>
        <v>#N/A</v>
      </c>
      <c r="D221" s="109" t="e">
        <f t="shared" si="56"/>
        <v>#N/A</v>
      </c>
      <c r="E221" s="109" t="e">
        <f t="shared" si="57"/>
        <v>#N/A</v>
      </c>
      <c r="F221" s="109" t="e">
        <f t="shared" si="58"/>
        <v>#N/A</v>
      </c>
      <c r="G221" s="109">
        <f t="shared" si="59"/>
        <v>79.988680172217457</v>
      </c>
      <c r="H221" s="109">
        <f t="shared" si="60"/>
        <v>0.86813536108538769</v>
      </c>
      <c r="I221" s="109">
        <f t="shared" si="61"/>
        <v>3.5807767943205371</v>
      </c>
      <c r="J221" s="109">
        <f t="shared" si="62"/>
        <v>8.8959803822294611E-2</v>
      </c>
    </row>
    <row r="222" spans="1:10" x14ac:dyDescent="0.25">
      <c r="A222">
        <v>29</v>
      </c>
      <c r="B222">
        <f t="shared" si="54"/>
        <v>0.50614548307835561</v>
      </c>
      <c r="C222" s="109" t="e">
        <f t="shared" si="55"/>
        <v>#N/A</v>
      </c>
      <c r="D222" s="109" t="e">
        <f t="shared" si="56"/>
        <v>#N/A</v>
      </c>
      <c r="E222" s="109" t="e">
        <f t="shared" si="57"/>
        <v>#N/A</v>
      </c>
      <c r="F222" s="109" t="e">
        <f t="shared" si="58"/>
        <v>#N/A</v>
      </c>
      <c r="G222" s="109">
        <f t="shared" si="59"/>
        <v>77.13751717759672</v>
      </c>
      <c r="H222" s="109">
        <f t="shared" si="60"/>
        <v>0.84552691000777291</v>
      </c>
      <c r="I222" s="109">
        <f t="shared" si="61"/>
        <v>3.453141505602404</v>
      </c>
      <c r="J222" s="109">
        <f t="shared" si="62"/>
        <v>8.664306444875268E-2</v>
      </c>
    </row>
    <row r="223" spans="1:10" x14ac:dyDescent="0.25">
      <c r="A223">
        <v>30</v>
      </c>
      <c r="B223">
        <f t="shared" si="54"/>
        <v>0.52359877559829882</v>
      </c>
      <c r="C223" s="109" t="e">
        <f t="shared" si="55"/>
        <v>#N/A</v>
      </c>
      <c r="D223" s="109" t="e">
        <f t="shared" si="56"/>
        <v>#N/A</v>
      </c>
      <c r="E223" s="109" t="e">
        <f t="shared" si="57"/>
        <v>#N/A</v>
      </c>
      <c r="F223" s="109" t="e">
        <f t="shared" si="58"/>
        <v>#N/A</v>
      </c>
      <c r="G223" s="109">
        <f t="shared" si="59"/>
        <v>74.207854490152783</v>
      </c>
      <c r="H223" s="109">
        <f t="shared" si="60"/>
        <v>0.82223689717014881</v>
      </c>
      <c r="I223" s="109">
        <f t="shared" si="61"/>
        <v>3.3219920961634712</v>
      </c>
      <c r="J223" s="109">
        <f t="shared" si="62"/>
        <v>8.4256483892394055E-2</v>
      </c>
    </row>
    <row r="224" spans="1:10" x14ac:dyDescent="0.25">
      <c r="A224">
        <v>31</v>
      </c>
      <c r="B224">
        <f t="shared" si="54"/>
        <v>0.54105206811824214</v>
      </c>
      <c r="C224" s="109" t="e">
        <f t="shared" si="55"/>
        <v>#N/A</v>
      </c>
      <c r="D224" s="109" t="e">
        <f t="shared" si="56"/>
        <v>#N/A</v>
      </c>
      <c r="E224" s="109" t="e">
        <f t="shared" si="57"/>
        <v>#N/A</v>
      </c>
      <c r="F224" s="109" t="e">
        <f t="shared" si="58"/>
        <v>#N/A</v>
      </c>
      <c r="G224" s="109">
        <f t="shared" si="59"/>
        <v>71.201854439650504</v>
      </c>
      <c r="H224" s="109">
        <f t="shared" si="60"/>
        <v>0.79827658336035134</v>
      </c>
      <c r="I224" s="109">
        <f t="shared" si="61"/>
        <v>3.1874253649536279</v>
      </c>
      <c r="J224" s="109">
        <f t="shared" si="62"/>
        <v>8.1801216071745342E-2</v>
      </c>
    </row>
    <row r="225" spans="1:10" x14ac:dyDescent="0.25">
      <c r="A225">
        <v>32</v>
      </c>
      <c r="B225">
        <f t="shared" ref="B225:B256" si="63">A225*PI()/180</f>
        <v>0.55850536063818546</v>
      </c>
      <c r="C225" s="109" t="e">
        <f t="shared" ref="C225:C256" si="64">IF(Load_Case=1,(0.0796*FA_SUS*D*0.5)-(0.238*FA_SUS*D*0.5*(1-COS(B225)))+(FA_SUS*0.5*D/PI())*(1-COS(B225)-B225*SIN(B225)*0.5),NA())</f>
        <v>#N/A</v>
      </c>
      <c r="D225" s="109" t="e">
        <f t="shared" ref="D225:D256" si="65">IF(Load_Case=1,0.238*FA_SUS*COS(B225)-(FA_SUS/(2*PI()))*B225*SIN(B225),NA())</f>
        <v>#N/A</v>
      </c>
      <c r="E225" s="109" t="e">
        <f t="shared" ref="E225:E256" si="66">0.000001*C225/Z_BareRoark</f>
        <v>#N/A</v>
      </c>
      <c r="F225" s="109" t="e">
        <f t="shared" ref="F225:F256" si="67">D225*1000/(beff_Bare_Roark*Tnet_Bare_Roark)</f>
        <v>#N/A</v>
      </c>
      <c r="G225" s="109">
        <f t="shared" ref="G225:G256" si="68">IF(Load_Case=2,(0.0796*FA_EXP*D*0.5)-(0.238*FA_EXP*D*0.5*(1-COS(B225)))+(FA_EXP*0.5*D/PI())*(1-COS(B225)-B225*SIN(B225)*0.5),NA())</f>
        <v>68.121741588980896</v>
      </c>
      <c r="H225" s="109">
        <f t="shared" ref="H225:H256" si="69">IF(Load_Case=2,0.238*FA_EXP*COS(B225)-(FA_EXP/(2*PI()))*B225*SIN(B225),NA())</f>
        <v>0.77365756143361142</v>
      </c>
      <c r="I225" s="109">
        <f t="shared" ref="I225:I256" si="70">0.000001*G225/Z_BareRoark</f>
        <v>3.0495408968536402</v>
      </c>
      <c r="J225" s="109">
        <f t="shared" ref="J225:J256" si="71">H225*1000/(beff_Bare_Roark*Tnet_Bare_Roark)</f>
        <v>7.9278448933033957E-2</v>
      </c>
    </row>
    <row r="226" spans="1:10" x14ac:dyDescent="0.25">
      <c r="A226">
        <v>33</v>
      </c>
      <c r="B226">
        <f t="shared" si="63"/>
        <v>0.57595865315812877</v>
      </c>
      <c r="C226" s="109" t="e">
        <f t="shared" si="64"/>
        <v>#N/A</v>
      </c>
      <c r="D226" s="109" t="e">
        <f t="shared" si="65"/>
        <v>#N/A</v>
      </c>
      <c r="E226" s="109" t="e">
        <f t="shared" si="66"/>
        <v>#N/A</v>
      </c>
      <c r="F226" s="109" t="e">
        <f t="shared" si="67"/>
        <v>#N/A</v>
      </c>
      <c r="G226" s="109">
        <f t="shared" si="68"/>
        <v>64.969801657832178</v>
      </c>
      <c r="H226" s="109">
        <f t="shared" si="69"/>
        <v>0.74839175147316717</v>
      </c>
      <c r="I226" s="109">
        <f t="shared" si="70"/>
        <v>2.9084410144921646</v>
      </c>
      <c r="J226" s="109">
        <f t="shared" si="71"/>
        <v>7.6689403954285043E-2</v>
      </c>
    </row>
    <row r="227" spans="1:10" x14ac:dyDescent="0.25">
      <c r="A227">
        <v>34</v>
      </c>
      <c r="B227">
        <f t="shared" si="63"/>
        <v>0.59341194567807209</v>
      </c>
      <c r="C227" s="109" t="e">
        <f t="shared" si="64"/>
        <v>#N/A</v>
      </c>
      <c r="D227" s="109" t="e">
        <f t="shared" si="65"/>
        <v>#N/A</v>
      </c>
      <c r="E227" s="109" t="e">
        <f t="shared" si="66"/>
        <v>#N/A</v>
      </c>
      <c r="F227" s="109" t="e">
        <f t="shared" si="67"/>
        <v>#N/A</v>
      </c>
      <c r="G227" s="109">
        <f t="shared" si="68"/>
        <v>61.748380415979703</v>
      </c>
      <c r="H227" s="109">
        <f t="shared" si="69"/>
        <v>0.72249139581264665</v>
      </c>
      <c r="I227" s="109">
        <f t="shared" si="70"/>
        <v>2.7642307287027119</v>
      </c>
      <c r="J227" s="109">
        <f t="shared" si="71"/>
        <v>7.4035335635253705E-2</v>
      </c>
    </row>
    <row r="228" spans="1:10" x14ac:dyDescent="0.25">
      <c r="A228">
        <v>35</v>
      </c>
      <c r="B228">
        <f t="shared" si="63"/>
        <v>0.6108652381980153</v>
      </c>
      <c r="C228" s="109" t="e">
        <f t="shared" si="64"/>
        <v>#N/A</v>
      </c>
      <c r="D228" s="109" t="e">
        <f t="shared" si="65"/>
        <v>#N/A</v>
      </c>
      <c r="E228" s="109" t="e">
        <f t="shared" si="66"/>
        <v>#N/A</v>
      </c>
      <c r="F228" s="109" t="e">
        <f t="shared" si="67"/>
        <v>#N/A</v>
      </c>
      <c r="G228" s="109">
        <f t="shared" si="68"/>
        <v>58.459882546656793</v>
      </c>
      <c r="H228" s="109">
        <f t="shared" si="69"/>
        <v>0.6959690539221417</v>
      </c>
      <c r="I228" s="109">
        <f t="shared" si="70"/>
        <v>2.6170176876412601</v>
      </c>
      <c r="J228" s="109">
        <f t="shared" si="71"/>
        <v>7.1317530973389373E-2</v>
      </c>
    </row>
    <row r="229" spans="1:10" x14ac:dyDescent="0.25">
      <c r="A229">
        <v>36</v>
      </c>
      <c r="B229">
        <f t="shared" si="63"/>
        <v>0.62831853071795862</v>
      </c>
      <c r="C229" s="109" t="e">
        <f t="shared" si="64"/>
        <v>#N/A</v>
      </c>
      <c r="D229" s="109" t="e">
        <f t="shared" si="65"/>
        <v>#N/A</v>
      </c>
      <c r="E229" s="109" t="e">
        <f t="shared" si="66"/>
        <v>#N/A</v>
      </c>
      <c r="F229" s="109" t="e">
        <f t="shared" si="67"/>
        <v>#N/A</v>
      </c>
      <c r="G229" s="109">
        <f t="shared" si="68"/>
        <v>55.106770480481316</v>
      </c>
      <c r="H229" s="109">
        <f t="shared" si="69"/>
        <v>0.66883759715995084</v>
      </c>
      <c r="I229" s="109">
        <f t="shared" si="70"/>
        <v>2.4669121245857557</v>
      </c>
      <c r="J229" s="109">
        <f t="shared" si="71"/>
        <v>6.8537308926034976E-2</v>
      </c>
    </row>
    <row r="230" spans="1:10" x14ac:dyDescent="0.25">
      <c r="A230">
        <v>37</v>
      </c>
      <c r="B230">
        <f t="shared" si="63"/>
        <v>0.64577182323790194</v>
      </c>
      <c r="C230" s="109" t="e">
        <f t="shared" si="64"/>
        <v>#N/A</v>
      </c>
      <c r="D230" s="109" t="e">
        <f t="shared" si="65"/>
        <v>#N/A</v>
      </c>
      <c r="E230" s="109" t="e">
        <f t="shared" si="66"/>
        <v>#N/A</v>
      </c>
      <c r="F230" s="109" t="e">
        <f t="shared" si="67"/>
        <v>#N/A</v>
      </c>
      <c r="G230" s="109">
        <f t="shared" si="68"/>
        <v>51.691563200425406</v>
      </c>
      <c r="H230" s="109">
        <f t="shared" si="69"/>
        <v>0.6411102033920314</v>
      </c>
      <c r="I230" s="109">
        <f t="shared" si="70"/>
        <v>2.3140268044393397</v>
      </c>
      <c r="J230" s="109">
        <f t="shared" si="71"/>
        <v>6.5696019859069976E-2</v>
      </c>
    </row>
    <row r="231" spans="1:10" x14ac:dyDescent="0.25">
      <c r="A231">
        <v>38</v>
      </c>
      <c r="B231">
        <f t="shared" si="63"/>
        <v>0.66322511575784515</v>
      </c>
      <c r="C231" s="109" t="e">
        <f t="shared" si="64"/>
        <v>#N/A</v>
      </c>
      <c r="D231" s="109" t="e">
        <f t="shared" si="65"/>
        <v>#N/A</v>
      </c>
      <c r="E231" s="109" t="e">
        <f t="shared" si="66"/>
        <v>#N/A</v>
      </c>
      <c r="F231" s="109" t="e">
        <f t="shared" si="67"/>
        <v>#N/A</v>
      </c>
      <c r="G231" s="109">
        <f t="shared" si="68"/>
        <v>48.216835018327487</v>
      </c>
      <c r="H231" s="109">
        <f t="shared" si="69"/>
        <v>0.61280035148123513</v>
      </c>
      <c r="I231" s="109">
        <f t="shared" si="70"/>
        <v>2.1584769689596266</v>
      </c>
      <c r="J231" s="109">
        <f t="shared" si="71"/>
        <v>6.2795044982209794E-2</v>
      </c>
    </row>
    <row r="232" spans="1:10" x14ac:dyDescent="0.25">
      <c r="A232">
        <v>39</v>
      </c>
      <c r="B232">
        <f t="shared" si="63"/>
        <v>0.68067840827778847</v>
      </c>
      <c r="C232" s="109" t="e">
        <f t="shared" si="64"/>
        <v>#N/A</v>
      </c>
      <c r="D232" s="109" t="e">
        <f t="shared" si="65"/>
        <v>#N/A</v>
      </c>
      <c r="E232" s="109" t="e">
        <f t="shared" si="66"/>
        <v>#N/A</v>
      </c>
      <c r="F232" s="109" t="e">
        <f t="shared" si="67"/>
        <v>#N/A</v>
      </c>
      <c r="G232" s="109">
        <f t="shared" si="68"/>
        <v>44.685214323458752</v>
      </c>
      <c r="H232" s="109">
        <f t="shared" si="69"/>
        <v>0.58392181564846679</v>
      </c>
      <c r="I232" s="109">
        <f t="shared" si="70"/>
        <v>2.0003802807369788</v>
      </c>
      <c r="J232" s="109">
        <f t="shared" si="71"/>
        <v>5.983579577118095E-2</v>
      </c>
    </row>
    <row r="233" spans="1:10" x14ac:dyDescent="0.25">
      <c r="A233">
        <v>40</v>
      </c>
      <c r="B233">
        <f t="shared" si="63"/>
        <v>0.69813170079773179</v>
      </c>
      <c r="C233" s="109" t="e">
        <f t="shared" si="64"/>
        <v>#N/A</v>
      </c>
      <c r="D233" s="109" t="e">
        <f t="shared" si="65"/>
        <v>#N/A</v>
      </c>
      <c r="E233" s="109" t="e">
        <f t="shared" si="66"/>
        <v>#N/A</v>
      </c>
      <c r="F233" s="109" t="e">
        <f t="shared" si="67"/>
        <v>#N/A</v>
      </c>
      <c r="G233" s="109">
        <f t="shared" si="68"/>
        <v>41.099382303667397</v>
      </c>
      <c r="H233" s="109">
        <f t="shared" si="69"/>
        <v>0.55448865970795091</v>
      </c>
      <c r="I233" s="109">
        <f t="shared" si="70"/>
        <v>1.8398567659451925</v>
      </c>
      <c r="J233" s="109">
        <f t="shared" si="71"/>
        <v>5.6819713376995686E-2</v>
      </c>
    </row>
    <row r="234" spans="1:10" x14ac:dyDescent="0.25">
      <c r="A234">
        <v>41</v>
      </c>
      <c r="B234">
        <f t="shared" si="63"/>
        <v>0.715584993317675</v>
      </c>
      <c r="C234" s="109" t="e">
        <f t="shared" si="64"/>
        <v>#N/A</v>
      </c>
      <c r="D234" s="109" t="e">
        <f t="shared" si="65"/>
        <v>#N/A</v>
      </c>
      <c r="E234" s="109" t="e">
        <f t="shared" si="66"/>
        <v>#N/A</v>
      </c>
      <c r="F234" s="109" t="e">
        <f t="shared" si="67"/>
        <v>#N/A</v>
      </c>
      <c r="G234" s="109">
        <f t="shared" si="68"/>
        <v>37.462071639635582</v>
      </c>
      <c r="H234" s="109">
        <f t="shared" si="69"/>
        <v>0.52451523117883769</v>
      </c>
      <c r="I234" s="109">
        <f t="shared" si="70"/>
        <v>1.6770287558885453</v>
      </c>
      <c r="J234" s="109">
        <f t="shared" si="71"/>
        <v>5.3748268022554911E-2</v>
      </c>
    </row>
    <row r="235" spans="1:10" x14ac:dyDescent="0.25">
      <c r="A235">
        <v>42</v>
      </c>
      <c r="B235">
        <f t="shared" si="63"/>
        <v>0.73303828583761843</v>
      </c>
      <c r="C235" s="109" t="e">
        <f t="shared" si="64"/>
        <v>#N/A</v>
      </c>
      <c r="D235" s="109" t="e">
        <f t="shared" si="65"/>
        <v>#N/A</v>
      </c>
      <c r="E235" s="109" t="e">
        <f t="shared" si="66"/>
        <v>#N/A</v>
      </c>
      <c r="F235" s="109" t="e">
        <f t="shared" si="67"/>
        <v>#N/A</v>
      </c>
      <c r="G235" s="109">
        <f t="shared" si="68"/>
        <v>33.776065172796336</v>
      </c>
      <c r="H235" s="109">
        <f t="shared" si="69"/>
        <v>0.49401615527543186</v>
      </c>
      <c r="I235" s="109">
        <f t="shared" si="70"/>
        <v>1.512020827369708</v>
      </c>
      <c r="J235" s="109">
        <f t="shared" si="71"/>
        <v>5.0622958386813223E-2</v>
      </c>
    </row>
    <row r="236" spans="1:10" x14ac:dyDescent="0.25">
      <c r="A236">
        <v>43</v>
      </c>
      <c r="B236">
        <f t="shared" si="63"/>
        <v>0.75049157835756164</v>
      </c>
      <c r="C236" s="109" t="e">
        <f t="shared" si="64"/>
        <v>#N/A</v>
      </c>
      <c r="D236" s="109" t="e">
        <f t="shared" si="65"/>
        <v>#N/A</v>
      </c>
      <c r="E236" s="109" t="e">
        <f t="shared" si="66"/>
        <v>#N/A</v>
      </c>
      <c r="F236" s="109" t="e">
        <f t="shared" si="67"/>
        <v>#N/A</v>
      </c>
      <c r="G236" s="109">
        <f t="shared" si="68"/>
        <v>30.044194547468038</v>
      </c>
      <c r="H236" s="109">
        <f t="shared" si="69"/>
        <v>0.46300632877837639</v>
      </c>
      <c r="I236" s="109">
        <f t="shared" si="70"/>
        <v>1.3449597419034744</v>
      </c>
      <c r="J236" s="109">
        <f t="shared" si="71"/>
        <v>4.7445310976745196E-2</v>
      </c>
    </row>
    <row r="237" spans="1:10" x14ac:dyDescent="0.25">
      <c r="A237">
        <v>44</v>
      </c>
      <c r="B237">
        <f t="shared" si="63"/>
        <v>0.76794487087750496</v>
      </c>
      <c r="C237" s="109" t="e">
        <f t="shared" si="64"/>
        <v>#N/A</v>
      </c>
      <c r="D237" s="109" t="e">
        <f t="shared" si="65"/>
        <v>#N/A</v>
      </c>
      <c r="E237" s="109" t="e">
        <f t="shared" si="66"/>
        <v>#N/A</v>
      </c>
      <c r="F237" s="109" t="e">
        <f t="shared" si="67"/>
        <v>#N/A</v>
      </c>
      <c r="G237" s="109">
        <f t="shared" si="68"/>
        <v>26.26933882777541</v>
      </c>
      <c r="H237" s="109">
        <f t="shared" si="69"/>
        <v>0.43150091378916322</v>
      </c>
      <c r="I237" s="109">
        <f t="shared" si="70"/>
        <v>1.1759743838017871</v>
      </c>
      <c r="J237" s="109">
        <f t="shared" si="71"/>
        <v>4.4216879487355941E-2</v>
      </c>
    </row>
    <row r="238" spans="1:10" x14ac:dyDescent="0.25">
      <c r="A238">
        <v>45</v>
      </c>
      <c r="B238">
        <f t="shared" si="63"/>
        <v>0.78539816339744828</v>
      </c>
      <c r="C238" s="109" t="e">
        <f t="shared" si="64"/>
        <v>#N/A</v>
      </c>
      <c r="D238" s="109" t="e">
        <f t="shared" si="65"/>
        <v>#N/A</v>
      </c>
      <c r="E238" s="109" t="e">
        <f t="shared" si="66"/>
        <v>#N/A</v>
      </c>
      <c r="F238" s="109" t="e">
        <f t="shared" si="67"/>
        <v>#N/A</v>
      </c>
      <c r="G238" s="109">
        <f t="shared" si="68"/>
        <v>22.454423089937315</v>
      </c>
      <c r="H238" s="109">
        <f t="shared" si="69"/>
        <v>0.39951533137039946</v>
      </c>
      <c r="I238" s="109">
        <f t="shared" si="70"/>
        <v>1.0051956971560294</v>
      </c>
      <c r="J238" s="109">
        <f t="shared" si="71"/>
        <v>4.0939244149984635E-2</v>
      </c>
    </row>
    <row r="239" spans="1:10" x14ac:dyDescent="0.25">
      <c r="A239">
        <v>46</v>
      </c>
      <c r="B239">
        <f t="shared" si="63"/>
        <v>0.80285145591739149</v>
      </c>
      <c r="C239" s="109" t="e">
        <f t="shared" si="64"/>
        <v>#N/A</v>
      </c>
      <c r="D239" s="109" t="e">
        <f t="shared" si="65"/>
        <v>#N/A</v>
      </c>
      <c r="E239" s="109" t="e">
        <f t="shared" si="66"/>
        <v>#N/A</v>
      </c>
      <c r="F239" s="109" t="e">
        <f t="shared" si="67"/>
        <v>#N/A</v>
      </c>
      <c r="G239" s="109">
        <f t="shared" si="68"/>
        <v>18.602416990511351</v>
      </c>
      <c r="H239" s="109">
        <f t="shared" si="69"/>
        <v>0.36706525507429094</v>
      </c>
      <c r="I239" s="109">
        <f t="shared" si="70"/>
        <v>0.83275662174300047</v>
      </c>
      <c r="J239" s="109">
        <f t="shared" si="71"/>
        <v>3.7614011069153623E-2</v>
      </c>
    </row>
    <row r="240" spans="1:10" x14ac:dyDescent="0.25">
      <c r="A240">
        <v>47</v>
      </c>
      <c r="B240">
        <f t="shared" si="63"/>
        <v>0.82030474843733492</v>
      </c>
      <c r="C240" s="109" t="e">
        <f t="shared" si="64"/>
        <v>#N/A</v>
      </c>
      <c r="D240" s="109" t="e">
        <f t="shared" si="65"/>
        <v>#N/A</v>
      </c>
      <c r="E240" s="109" t="e">
        <f t="shared" si="66"/>
        <v>#N/A</v>
      </c>
      <c r="F240" s="109" t="e">
        <f t="shared" si="67"/>
        <v>#N/A</v>
      </c>
      <c r="G240" s="109">
        <f t="shared" si="68"/>
        <v>14.716333311196363</v>
      </c>
      <c r="H240" s="109">
        <f t="shared" si="69"/>
        <v>0.33416660436185908</v>
      </c>
      <c r="I240" s="109">
        <f t="shared" si="70"/>
        <v>0.65879202788147972</v>
      </c>
      <c r="J240" s="109">
        <f t="shared" si="71"/>
        <v>3.4242811548220536E-2</v>
      </c>
    </row>
    <row r="241" spans="1:10" x14ac:dyDescent="0.25">
      <c r="A241">
        <v>48</v>
      </c>
      <c r="B241">
        <f t="shared" si="63"/>
        <v>0.83775804095727813</v>
      </c>
      <c r="C241" s="109" t="e">
        <f t="shared" si="64"/>
        <v>#N/A</v>
      </c>
      <c r="D241" s="109" t="e">
        <f t="shared" si="65"/>
        <v>#N/A</v>
      </c>
      <c r="E241" s="109" t="e">
        <f t="shared" si="66"/>
        <v>#N/A</v>
      </c>
      <c r="F241" s="109" t="e">
        <f t="shared" si="67"/>
        <v>#N/A</v>
      </c>
      <c r="G241" s="109">
        <f t="shared" si="68"/>
        <v>10.799226480803901</v>
      </c>
      <c r="H241" s="109">
        <f t="shared" si="69"/>
        <v>0.30083553791544521</v>
      </c>
      <c r="I241" s="109">
        <f t="shared" si="70"/>
        <v>0.4834386502667361</v>
      </c>
      <c r="J241" s="109">
        <f t="shared" si="71"/>
        <v>3.0827301404095446E-2</v>
      </c>
    </row>
    <row r="242" spans="1:10" x14ac:dyDescent="0.25">
      <c r="A242">
        <v>49</v>
      </c>
      <c r="B242">
        <f t="shared" si="63"/>
        <v>0.85521133347722145</v>
      </c>
      <c r="C242" s="109" t="e">
        <f t="shared" si="64"/>
        <v>#N/A</v>
      </c>
      <c r="D242" s="109" t="e">
        <f t="shared" si="65"/>
        <v>#N/A</v>
      </c>
      <c r="E242" s="109" t="e">
        <f t="shared" si="66"/>
        <v>#N/A</v>
      </c>
      <c r="F242" s="109" t="e">
        <f t="shared" si="67"/>
        <v>#N/A</v>
      </c>
      <c r="G242" s="109">
        <f t="shared" si="68"/>
        <v>6.854191075019072</v>
      </c>
      <c r="H242" s="109">
        <f t="shared" si="69"/>
        <v>0.26708844684709487</v>
      </c>
      <c r="I242" s="109">
        <f t="shared" si="70"/>
        <v>0.30683502081075575</v>
      </c>
      <c r="J242" s="109">
        <f t="shared" si="71"/>
        <v>2.7369160271288537E-2</v>
      </c>
    </row>
    <row r="243" spans="1:10" x14ac:dyDescent="0.25">
      <c r="A243">
        <v>50</v>
      </c>
      <c r="B243">
        <f t="shared" si="63"/>
        <v>0.87266462599716477</v>
      </c>
      <c r="C243" s="109" t="e">
        <f t="shared" si="64"/>
        <v>#N/A</v>
      </c>
      <c r="D243" s="109" t="e">
        <f t="shared" si="65"/>
        <v>#N/A</v>
      </c>
      <c r="E243" s="109" t="e">
        <f t="shared" si="66"/>
        <v>#N/A</v>
      </c>
      <c r="F243" s="109" t="e">
        <f t="shared" si="67"/>
        <v>#N/A</v>
      </c>
      <c r="G243" s="109">
        <f t="shared" si="68"/>
        <v>2.8843602945820841</v>
      </c>
      <c r="H243" s="109">
        <f t="shared" si="69"/>
        <v>0.23294194780546917</v>
      </c>
      <c r="I243" s="109">
        <f t="shared" si="70"/>
        <v>0.12912140051644952</v>
      </c>
      <c r="J243" s="109">
        <f t="shared" si="71"/>
        <v>2.3870090895559679E-2</v>
      </c>
    </row>
    <row r="244" spans="1:10" x14ac:dyDescent="0.25">
      <c r="A244">
        <v>51</v>
      </c>
      <c r="B244">
        <f t="shared" si="63"/>
        <v>0.89011791851710798</v>
      </c>
      <c r="C244" s="109" t="e">
        <f t="shared" si="64"/>
        <v>#N/A</v>
      </c>
      <c r="D244" s="109" t="e">
        <f t="shared" si="65"/>
        <v>#N/A</v>
      </c>
      <c r="E244" s="109" t="e">
        <f t="shared" si="66"/>
        <v>#N/A</v>
      </c>
      <c r="F244" s="109" t="e">
        <f t="shared" si="67"/>
        <v>#N/A</v>
      </c>
      <c r="G244" s="109">
        <f t="shared" si="68"/>
        <v>-1.1070955774700124</v>
      </c>
      <c r="H244" s="109">
        <f t="shared" si="69"/>
        <v>0.1984128759839523</v>
      </c>
      <c r="I244" s="109">
        <f t="shared" si="70"/>
        <v>-4.9560289585530951E-2</v>
      </c>
      <c r="J244" s="109">
        <f t="shared" si="71"/>
        <v>2.033181841744329E-2</v>
      </c>
    </row>
    <row r="245" spans="1:10" x14ac:dyDescent="0.25">
      <c r="A245">
        <v>52</v>
      </c>
      <c r="B245">
        <f t="shared" si="63"/>
        <v>0.90757121103705141</v>
      </c>
      <c r="C245" s="109" t="e">
        <f t="shared" si="64"/>
        <v>#N/A</v>
      </c>
      <c r="D245" s="109" t="e">
        <f t="shared" si="65"/>
        <v>#N/A</v>
      </c>
      <c r="E245" s="109" t="e">
        <f t="shared" si="66"/>
        <v>#N/A</v>
      </c>
      <c r="F245" s="109" t="e">
        <f t="shared" si="67"/>
        <v>#N/A</v>
      </c>
      <c r="G245" s="109">
        <f t="shared" si="68"/>
        <v>-5.1169707388526842</v>
      </c>
      <c r="H245" s="109">
        <f t="shared" si="69"/>
        <v>0.16351827803267838</v>
      </c>
      <c r="I245" s="109">
        <f t="shared" si="70"/>
        <v>-0.22906653840833038</v>
      </c>
      <c r="J245" s="109">
        <f t="shared" si="71"/>
        <v>1.6756089645927615E-2</v>
      </c>
    </row>
    <row r="246" spans="1:10" x14ac:dyDescent="0.25">
      <c r="A246">
        <v>53</v>
      </c>
      <c r="B246">
        <f t="shared" si="63"/>
        <v>0.92502450355699462</v>
      </c>
      <c r="C246" s="109" t="e">
        <f t="shared" si="64"/>
        <v>#N/A</v>
      </c>
      <c r="D246" s="109" t="e">
        <f t="shared" si="65"/>
        <v>#N/A</v>
      </c>
      <c r="E246" s="109" t="e">
        <f t="shared" si="66"/>
        <v>#N/A</v>
      </c>
      <c r="F246" s="109" t="e">
        <f t="shared" si="67"/>
        <v>#N/A</v>
      </c>
      <c r="G246" s="109">
        <f t="shared" si="68"/>
        <v>-9.1420254507146428</v>
      </c>
      <c r="H246" s="109">
        <f t="shared" si="69"/>
        <v>0.12827540487723588</v>
      </c>
      <c r="I246" s="109">
        <f t="shared" si="70"/>
        <v>-0.40925231565924514</v>
      </c>
      <c r="J246" s="109">
        <f t="shared" si="71"/>
        <v>1.3144672322571046E-2</v>
      </c>
    </row>
    <row r="247" spans="1:10" x14ac:dyDescent="0.25">
      <c r="A247">
        <v>54</v>
      </c>
      <c r="B247">
        <f t="shared" si="63"/>
        <v>0.94247779607693793</v>
      </c>
      <c r="C247" s="109" t="e">
        <f t="shared" si="64"/>
        <v>#N/A</v>
      </c>
      <c r="D247" s="109" t="e">
        <f t="shared" si="65"/>
        <v>#N/A</v>
      </c>
      <c r="E247" s="109" t="e">
        <f t="shared" si="66"/>
        <v>#N/A</v>
      </c>
      <c r="F247" s="109" t="e">
        <f t="shared" si="67"/>
        <v>#N/A</v>
      </c>
      <c r="G247" s="109">
        <f t="shared" si="68"/>
        <v>-13.178987639285639</v>
      </c>
      <c r="H247" s="109">
        <f t="shared" si="69"/>
        <v>9.2701704446832456E-2</v>
      </c>
      <c r="I247" s="109">
        <f t="shared" si="70"/>
        <v>-0.58997114353915936</v>
      </c>
      <c r="J247" s="109">
        <f t="shared" si="71"/>
        <v>9.4993543763406529E-3</v>
      </c>
    </row>
    <row r="248" spans="1:10" x14ac:dyDescent="0.25">
      <c r="A248">
        <v>55</v>
      </c>
      <c r="B248">
        <f t="shared" si="63"/>
        <v>0.95993108859688125</v>
      </c>
      <c r="C248" s="109" t="e">
        <f t="shared" si="64"/>
        <v>#N/A</v>
      </c>
      <c r="D248" s="109" t="e">
        <f t="shared" si="65"/>
        <v>#N/A</v>
      </c>
      <c r="E248" s="109" t="e">
        <f t="shared" si="66"/>
        <v>#N/A</v>
      </c>
      <c r="F248" s="109" t="e">
        <f t="shared" si="67"/>
        <v>#N/A</v>
      </c>
      <c r="G248" s="109">
        <f t="shared" si="68"/>
        <v>-17.224554515813782</v>
      </c>
      <c r="H248" s="109">
        <f t="shared" si="69"/>
        <v>5.6814814314764983E-2</v>
      </c>
      <c r="I248" s="109">
        <f t="shared" si="70"/>
        <v>-0.7710751692607305</v>
      </c>
      <c r="J248" s="109">
        <f t="shared" si="71"/>
        <v>5.8219431694644056E-3</v>
      </c>
    </row>
    <row r="249" spans="1:10" x14ac:dyDescent="0.25">
      <c r="A249">
        <v>56</v>
      </c>
      <c r="B249">
        <f t="shared" si="63"/>
        <v>0.97738438111682457</v>
      </c>
      <c r="C249" s="109" t="e">
        <f t="shared" si="64"/>
        <v>#N/A</v>
      </c>
      <c r="D249" s="109" t="e">
        <f t="shared" si="65"/>
        <v>#N/A</v>
      </c>
      <c r="E249" s="109" t="e">
        <f t="shared" si="66"/>
        <v>#N/A</v>
      </c>
      <c r="F249" s="109" t="e">
        <f t="shared" si="67"/>
        <v>#N/A</v>
      </c>
      <c r="G249" s="109">
        <f t="shared" si="68"/>
        <v>-21.275394214110712</v>
      </c>
      <c r="H249" s="109">
        <f t="shared" si="69"/>
        <v>2.0632554254045088E-2</v>
      </c>
      <c r="I249" s="109">
        <f t="shared" si="70"/>
        <v>-0.95241523835480879</v>
      </c>
      <c r="J249" s="109">
        <f t="shared" si="71"/>
        <v>2.1142647345892057E-3</v>
      </c>
    </row>
    <row r="250" spans="1:10" x14ac:dyDescent="0.25">
      <c r="A250">
        <v>57</v>
      </c>
      <c r="B250">
        <f t="shared" si="63"/>
        <v>0.99483767363676778</v>
      </c>
      <c r="C250" s="109" t="e">
        <f t="shared" si="64"/>
        <v>#N/A</v>
      </c>
      <c r="D250" s="109" t="e">
        <f t="shared" si="65"/>
        <v>#N/A</v>
      </c>
      <c r="E250" s="109" t="e">
        <f t="shared" si="66"/>
        <v>#N/A</v>
      </c>
      <c r="F250" s="109" t="e">
        <f t="shared" si="67"/>
        <v>#N/A</v>
      </c>
      <c r="G250" s="109">
        <f t="shared" si="68"/>
        <v>-25.328147445012764</v>
      </c>
      <c r="H250" s="109">
        <f t="shared" si="69"/>
        <v>-1.5827081288911526E-2</v>
      </c>
      <c r="I250" s="109">
        <f t="shared" si="70"/>
        <v>-1.1338409687341195</v>
      </c>
      <c r="J250" s="109">
        <f t="shared" si="71"/>
        <v>-1.6218369964572773E-3</v>
      </c>
    </row>
    <row r="251" spans="1:10" x14ac:dyDescent="0.25">
      <c r="A251">
        <v>58</v>
      </c>
      <c r="B251">
        <f t="shared" si="63"/>
        <v>1.0122909661567112</v>
      </c>
      <c r="C251" s="109" t="e">
        <f t="shared" si="64"/>
        <v>#N/A</v>
      </c>
      <c r="D251" s="109" t="e">
        <f t="shared" si="65"/>
        <v>#N/A</v>
      </c>
      <c r="E251" s="109" t="e">
        <f t="shared" si="66"/>
        <v>#N/A</v>
      </c>
      <c r="F251" s="109" t="e">
        <f t="shared" si="67"/>
        <v>#N/A</v>
      </c>
      <c r="G251" s="109">
        <f t="shared" si="68"/>
        <v>-29.379429167059634</v>
      </c>
      <c r="H251" s="109">
        <f t="shared" si="69"/>
        <v>-5.2545930799607232E-2</v>
      </c>
      <c r="I251" s="109">
        <f t="shared" si="70"/>
        <v>-1.3152008254829375</v>
      </c>
      <c r="J251" s="109">
        <f t="shared" si="71"/>
        <v>-5.3845009720012516E-3</v>
      </c>
    </row>
    <row r="252" spans="1:10" x14ac:dyDescent="0.25">
      <c r="A252">
        <v>59</v>
      </c>
      <c r="B252">
        <f t="shared" si="63"/>
        <v>1.0297442586766543</v>
      </c>
      <c r="C252" s="109" t="e">
        <f t="shared" si="64"/>
        <v>#N/A</v>
      </c>
      <c r="D252" s="109" t="e">
        <f t="shared" si="65"/>
        <v>#N/A</v>
      </c>
      <c r="E252" s="109" t="e">
        <f t="shared" si="66"/>
        <v>#N/A</v>
      </c>
      <c r="F252" s="109" t="e">
        <f t="shared" si="67"/>
        <v>#N/A</v>
      </c>
      <c r="G252" s="109">
        <f t="shared" si="68"/>
        <v>-33.425830272683811</v>
      </c>
      <c r="H252" s="109">
        <f t="shared" si="69"/>
        <v>-8.9505673376821693E-2</v>
      </c>
      <c r="I252" s="109">
        <f t="shared" si="70"/>
        <v>-1.4963421963411179</v>
      </c>
      <c r="J252" s="109">
        <f t="shared" si="71"/>
        <v>-9.1718498076491465E-3</v>
      </c>
    </row>
    <row r="253" spans="1:10" x14ac:dyDescent="0.25">
      <c r="A253">
        <v>60</v>
      </c>
      <c r="B253">
        <f t="shared" si="63"/>
        <v>1.0471975511965976</v>
      </c>
      <c r="C253" s="109" t="e">
        <f t="shared" si="64"/>
        <v>#N/A</v>
      </c>
      <c r="D253" s="109" t="e">
        <f t="shared" si="65"/>
        <v>#N/A</v>
      </c>
      <c r="E253" s="109" t="e">
        <f t="shared" si="66"/>
        <v>#N/A</v>
      </c>
      <c r="F253" s="109" t="e">
        <f t="shared" si="67"/>
        <v>#N/A</v>
      </c>
      <c r="G253" s="109">
        <f t="shared" si="68"/>
        <v>-37.463919289198898</v>
      </c>
      <c r="H253" s="109">
        <f t="shared" si="69"/>
        <v>-0.12668783648703208</v>
      </c>
      <c r="I253" s="109">
        <f t="shared" si="70"/>
        <v>-1.6771114678506147</v>
      </c>
      <c r="J253" s="109">
        <f t="shared" si="71"/>
        <v>-1.2981990580900677E-2</v>
      </c>
    </row>
    <row r="254" spans="1:10" x14ac:dyDescent="0.25">
      <c r="A254">
        <v>61</v>
      </c>
      <c r="B254">
        <f t="shared" si="63"/>
        <v>1.064650843716541</v>
      </c>
      <c r="C254" s="109" t="e">
        <f t="shared" si="64"/>
        <v>#N/A</v>
      </c>
      <c r="D254" s="109" t="e">
        <f t="shared" si="65"/>
        <v>#N/A</v>
      </c>
      <c r="E254" s="109" t="e">
        <f t="shared" si="66"/>
        <v>#N/A</v>
      </c>
      <c r="F254" s="109" t="e">
        <f t="shared" si="67"/>
        <v>#N/A</v>
      </c>
      <c r="G254" s="109">
        <f t="shared" si="68"/>
        <v>-41.490244093865066</v>
      </c>
      <c r="H254" s="109">
        <f t="shared" si="69"/>
        <v>-0.16407380378884695</v>
      </c>
      <c r="I254" s="109">
        <f t="shared" si="70"/>
        <v>-1.8573541021321762</v>
      </c>
      <c r="J254" s="109">
        <f t="shared" si="71"/>
        <v>-1.6813015632936371E-2</v>
      </c>
    </row>
    <row r="255" spans="1:10" x14ac:dyDescent="0.25">
      <c r="A255">
        <v>62</v>
      </c>
      <c r="B255">
        <f t="shared" si="63"/>
        <v>1.0821041362364843</v>
      </c>
      <c r="C255" s="109" t="e">
        <f t="shared" si="64"/>
        <v>#N/A</v>
      </c>
      <c r="D255" s="109" t="e">
        <f t="shared" si="65"/>
        <v>#N/A</v>
      </c>
      <c r="E255" s="109" t="e">
        <f t="shared" si="66"/>
        <v>#N/A</v>
      </c>
      <c r="F255" s="109" t="e">
        <f t="shared" si="67"/>
        <v>#N/A</v>
      </c>
      <c r="G255" s="109">
        <f t="shared" si="68"/>
        <v>-45.501333642307166</v>
      </c>
      <c r="H255" s="109">
        <f t="shared" si="69"/>
        <v>-0.20164482302442144</v>
      </c>
      <c r="I255" s="109">
        <f t="shared" si="70"/>
        <v>-2.0369147142597877</v>
      </c>
      <c r="J255" s="109">
        <f t="shared" si="71"/>
        <v>-2.0663003377268813E-2</v>
      </c>
    </row>
    <row r="256" spans="1:10" x14ac:dyDescent="0.25">
      <c r="A256">
        <v>63</v>
      </c>
      <c r="B256">
        <f t="shared" si="63"/>
        <v>1.0995574287564276</v>
      </c>
      <c r="C256" s="109" t="e">
        <f t="shared" si="64"/>
        <v>#N/A</v>
      </c>
      <c r="D256" s="109" t="e">
        <f t="shared" si="65"/>
        <v>#N/A</v>
      </c>
      <c r="E256" s="109" t="e">
        <f t="shared" si="66"/>
        <v>#N/A</v>
      </c>
      <c r="F256" s="109" t="e">
        <f t="shared" si="67"/>
        <v>#N/A</v>
      </c>
      <c r="G256" s="109">
        <f t="shared" si="68"/>
        <v>-49.49369970955108</v>
      </c>
      <c r="H256" s="109">
        <f t="shared" si="69"/>
        <v>-0.23938201397476111</v>
      </c>
      <c r="I256" s="109">
        <f t="shared" si="70"/>
        <v>-2.215637150199981</v>
      </c>
      <c r="J256" s="109">
        <f t="shared" si="71"/>
        <v>-2.4530019114940734E-2</v>
      </c>
    </row>
    <row r="257" spans="1:10" x14ac:dyDescent="0.25">
      <c r="A257">
        <v>64</v>
      </c>
      <c r="B257">
        <f t="shared" ref="B257:B288" si="72">A257*PI()/180</f>
        <v>1.1170107212763709</v>
      </c>
      <c r="C257" s="109" t="e">
        <f t="shared" ref="C257:C288" si="73">IF(Load_Case=1,(0.0796*FA_SUS*D*0.5)-(0.238*FA_SUS*D*0.5*(1-COS(B257)))+(FA_SUS*0.5*D/PI())*(1-COS(B257)-B257*SIN(B257)*0.5),NA())</f>
        <v>#N/A</v>
      </c>
      <c r="D257" s="109" t="e">
        <f t="shared" ref="D257:D288" si="74">IF(Load_Case=1,0.238*FA_SUS*COS(B257)-(FA_SUS/(2*PI()))*B257*SIN(B257),NA())</f>
        <v>#N/A</v>
      </c>
      <c r="E257" s="109" t="e">
        <f t="shared" ref="E257:E288" si="75">0.000001*C257/Z_BareRoark</f>
        <v>#N/A</v>
      </c>
      <c r="F257" s="109" t="e">
        <f t="shared" ref="F257:F288" si="76">D257*1000/(beff_Bare_Roark*Tnet_Bare_Roark)</f>
        <v>#N/A</v>
      </c>
      <c r="G257" s="109">
        <f t="shared" ref="G257:G288" si="77">IF(Load_Case=2,(0.0796*FA_EXP*D*0.5)-(0.238*FA_EXP*D*0.5*(1-COS(B257)))+(FA_EXP*0.5*D/PI())*(1-COS(B257)-B257*SIN(B257)*0.5),NA())</f>
        <v>-53.4638386429409</v>
      </c>
      <c r="H257" s="109">
        <f t="shared" ref="H257:H288" si="78">IF(Load_Case=2,0.238*FA_EXP*COS(B257)-(FA_EXP/(2*PI()))*B257*SIN(B257),NA())</f>
        <v>-0.27726637647581309</v>
      </c>
      <c r="I257" s="109">
        <f t="shared" ref="I257:I288" si="79">0.000001*G257/Z_BareRoark</f>
        <v>-2.3933645652830027</v>
      </c>
      <c r="J257" s="109">
        <f t="shared" ref="J257:J288" si="80">H257*1000/(beff_Bare_Roark*Tnet_Bare_Roark)</f>
        <v>-2.8412115855952064E-2</v>
      </c>
    </row>
    <row r="258" spans="1:10" x14ac:dyDescent="0.25">
      <c r="A258">
        <v>65</v>
      </c>
      <c r="B258">
        <f t="shared" si="72"/>
        <v>1.1344640137963142</v>
      </c>
      <c r="C258" s="109" t="e">
        <f t="shared" si="73"/>
        <v>#N/A</v>
      </c>
      <c r="D258" s="109" t="e">
        <f t="shared" si="74"/>
        <v>#N/A</v>
      </c>
      <c r="E258" s="109" t="e">
        <f t="shared" si="75"/>
        <v>#N/A</v>
      </c>
      <c r="F258" s="109" t="e">
        <f t="shared" si="76"/>
        <v>#N/A</v>
      </c>
      <c r="G258" s="109">
        <f t="shared" si="77"/>
        <v>-57.408233126191817</v>
      </c>
      <c r="H258" s="109">
        <f t="shared" si="78"/>
        <v>-0.31527879849221008</v>
      </c>
      <c r="I258" s="109">
        <f t="shared" si="79"/>
        <v>-2.5699395031724834</v>
      </c>
      <c r="J258" s="109">
        <f t="shared" si="80"/>
        <v>-3.2307335146594854E-2</v>
      </c>
    </row>
    <row r="259" spans="1:10" x14ac:dyDescent="0.25">
      <c r="A259">
        <v>66</v>
      </c>
      <c r="B259">
        <f t="shared" si="72"/>
        <v>1.1519173063162575</v>
      </c>
      <c r="C259" s="109" t="e">
        <f t="shared" si="73"/>
        <v>#N/A</v>
      </c>
      <c r="D259" s="109" t="e">
        <f t="shared" si="74"/>
        <v>#N/A</v>
      </c>
      <c r="E259" s="109" t="e">
        <f t="shared" si="75"/>
        <v>#N/A</v>
      </c>
      <c r="F259" s="109" t="e">
        <f t="shared" si="76"/>
        <v>#N/A</v>
      </c>
      <c r="G259" s="109">
        <f t="shared" si="77"/>
        <v>-61.323353953830235</v>
      </c>
      <c r="H259" s="109">
        <f t="shared" si="78"/>
        <v>-0.35340006424551534</v>
      </c>
      <c r="I259" s="109">
        <f t="shared" si="79"/>
        <v>-2.7452039753001025</v>
      </c>
      <c r="J259" s="109">
        <f t="shared" si="80"/>
        <v>-3.6213707902373014E-2</v>
      </c>
    </row>
    <row r="260" spans="1:10" x14ac:dyDescent="0.25">
      <c r="A260">
        <v>67</v>
      </c>
      <c r="B260">
        <f t="shared" si="72"/>
        <v>1.1693705988362006</v>
      </c>
      <c r="C260" s="109" t="e">
        <f t="shared" si="73"/>
        <v>#N/A</v>
      </c>
      <c r="D260" s="109" t="e">
        <f t="shared" si="74"/>
        <v>#N/A</v>
      </c>
      <c r="E260" s="109" t="e">
        <f t="shared" si="75"/>
        <v>#N/A</v>
      </c>
      <c r="F260" s="109" t="e">
        <f t="shared" si="76"/>
        <v>#N/A</v>
      </c>
      <c r="G260" s="109">
        <f t="shared" si="77"/>
        <v>-65.205661815265131</v>
      </c>
      <c r="H260" s="109">
        <f t="shared" si="78"/>
        <v>-0.39161086239378473</v>
      </c>
      <c r="I260" s="109">
        <f t="shared" si="79"/>
        <v>-2.9189995407314067</v>
      </c>
      <c r="J260" s="109">
        <f t="shared" si="80"/>
        <v>-4.012925524618062E-2</v>
      </c>
    </row>
    <row r="261" spans="1:10" x14ac:dyDescent="0.25">
      <c r="A261">
        <v>68</v>
      </c>
      <c r="B261">
        <f t="shared" si="72"/>
        <v>1.1868238913561442</v>
      </c>
      <c r="C261" s="109" t="e">
        <f t="shared" si="73"/>
        <v>#N/A</v>
      </c>
      <c r="D261" s="109" t="e">
        <f t="shared" si="74"/>
        <v>#N/A</v>
      </c>
      <c r="E261" s="109" t="e">
        <f t="shared" si="75"/>
        <v>#N/A</v>
      </c>
      <c r="F261" s="109" t="e">
        <f t="shared" si="76"/>
        <v>#N/A</v>
      </c>
      <c r="G261" s="109">
        <f t="shared" si="77"/>
        <v>-69.051609087732032</v>
      </c>
      <c r="H261" s="109">
        <f t="shared" si="78"/>
        <v>-0.42989179425925306</v>
      </c>
      <c r="I261" s="109">
        <f t="shared" si="79"/>
        <v>-3.0911673864288174</v>
      </c>
      <c r="J261" s="109">
        <f t="shared" si="80"/>
        <v>-4.4051989351411629E-2</v>
      </c>
    </row>
    <row r="262" spans="1:10" x14ac:dyDescent="0.25">
      <c r="A262">
        <v>69</v>
      </c>
      <c r="B262">
        <f t="shared" si="72"/>
        <v>1.2042771838760873</v>
      </c>
      <c r="C262" s="109" t="e">
        <f t="shared" si="73"/>
        <v>#N/A</v>
      </c>
      <c r="D262" s="109" t="e">
        <f t="shared" si="74"/>
        <v>#N/A</v>
      </c>
      <c r="E262" s="109" t="e">
        <f t="shared" si="75"/>
        <v>#N/A</v>
      </c>
      <c r="F262" s="109" t="e">
        <f t="shared" si="76"/>
        <v>#N/A</v>
      </c>
      <c r="G262" s="109">
        <f t="shared" si="77"/>
        <v>-72.857641637345495</v>
      </c>
      <c r="H262" s="109">
        <f t="shared" si="78"/>
        <v>-0.46822338210091091</v>
      </c>
      <c r="I262" s="109">
        <f t="shared" si="79"/>
        <v>-3.2615484078776262</v>
      </c>
      <c r="J262" s="109">
        <f t="shared" si="80"/>
        <v>-4.7979914289669662E-2</v>
      </c>
    </row>
    <row r="263" spans="1:10" x14ac:dyDescent="0.25">
      <c r="A263">
        <v>70</v>
      </c>
      <c r="B263">
        <f t="shared" si="72"/>
        <v>1.2217304763960306</v>
      </c>
      <c r="C263" s="109" t="e">
        <f t="shared" si="73"/>
        <v>#N/A</v>
      </c>
      <c r="D263" s="109" t="e">
        <f t="shared" si="74"/>
        <v>#N/A</v>
      </c>
      <c r="E263" s="109" t="e">
        <f t="shared" si="75"/>
        <v>#N/A</v>
      </c>
      <c r="F263" s="109" t="e">
        <f t="shared" si="76"/>
        <v>#N/A</v>
      </c>
      <c r="G263" s="109">
        <f t="shared" si="77"/>
        <v>-76.620200627492636</v>
      </c>
      <c r="H263" s="109">
        <f t="shared" si="78"/>
        <v>-0.50658607742875383</v>
      </c>
      <c r="I263" s="109">
        <f t="shared" si="79"/>
        <v>-3.4299832900406217</v>
      </c>
      <c r="J263" s="109">
        <f t="shared" si="80"/>
        <v>-5.1911026882747985E-2</v>
      </c>
    </row>
    <row r="264" spans="1:10" x14ac:dyDescent="0.25">
      <c r="A264">
        <v>71</v>
      </c>
      <c r="B264">
        <f t="shared" si="72"/>
        <v>1.2391837689159739</v>
      </c>
      <c r="C264" s="109" t="e">
        <f t="shared" si="73"/>
        <v>#N/A</v>
      </c>
      <c r="D264" s="109" t="e">
        <f t="shared" si="74"/>
        <v>#N/A</v>
      </c>
      <c r="E264" s="109" t="e">
        <f t="shared" si="75"/>
        <v>#N/A</v>
      </c>
      <c r="F264" s="109" t="e">
        <f t="shared" si="76"/>
        <v>#N/A</v>
      </c>
      <c r="G264" s="109">
        <f t="shared" si="77"/>
        <v>-80.335724333794346</v>
      </c>
      <c r="H264" s="109">
        <f t="shared" si="78"/>
        <v>-0.54496026935642083</v>
      </c>
      <c r="I264" s="109">
        <f t="shared" si="79"/>
        <v>-3.5963125886067213</v>
      </c>
      <c r="J264" s="109">
        <f t="shared" si="80"/>
        <v>-5.5843317558543375E-2</v>
      </c>
    </row>
    <row r="265" spans="1:10" x14ac:dyDescent="0.25">
      <c r="A265">
        <v>72</v>
      </c>
      <c r="B265">
        <f t="shared" si="72"/>
        <v>1.2566370614359172</v>
      </c>
      <c r="C265" s="109" t="e">
        <f t="shared" si="73"/>
        <v>#N/A</v>
      </c>
      <c r="D265" s="109" t="e">
        <f t="shared" si="74"/>
        <v>#N/A</v>
      </c>
      <c r="E265" s="109" t="e">
        <f t="shared" si="75"/>
        <v>#N/A</v>
      </c>
      <c r="F265" s="109" t="e">
        <f t="shared" si="76"/>
        <v>#N/A</v>
      </c>
      <c r="G265" s="109">
        <f t="shared" si="77"/>
        <v>-84.00064996486006</v>
      </c>
      <c r="H265" s="109">
        <f t="shared" si="78"/>
        <v>-0.5833262929889661</v>
      </c>
      <c r="I265" s="109">
        <f t="shared" si="79"/>
        <v>-3.76037681149896</v>
      </c>
      <c r="J265" s="109">
        <f t="shared" si="80"/>
        <v>-5.977477121057017E-2</v>
      </c>
    </row>
    <row r="266" spans="1:10" x14ac:dyDescent="0.25">
      <c r="A266">
        <v>73</v>
      </c>
      <c r="B266">
        <f t="shared" si="72"/>
        <v>1.2740903539558606</v>
      </c>
      <c r="C266" s="109" t="e">
        <f t="shared" si="73"/>
        <v>#N/A</v>
      </c>
      <c r="D266" s="109" t="e">
        <f t="shared" si="74"/>
        <v>#N/A</v>
      </c>
      <c r="E266" s="109" t="e">
        <f t="shared" si="75"/>
        <v>#N/A</v>
      </c>
      <c r="F266" s="109" t="e">
        <f t="shared" si="76"/>
        <v>#N/A</v>
      </c>
      <c r="G266" s="109">
        <f t="shared" si="77"/>
        <v>-87.611415488056934</v>
      </c>
      <c r="H266" s="109">
        <f t="shared" si="78"/>
        <v>-0.62166443784246539</v>
      </c>
      <c r="I266" s="109">
        <f t="shared" si="79"/>
        <v>-3.9220165006069543</v>
      </c>
      <c r="J266" s="109">
        <f t="shared" si="80"/>
        <v>-6.370336806073644E-2</v>
      </c>
    </row>
    <row r="267" spans="1:10" x14ac:dyDescent="0.25">
      <c r="A267">
        <v>74</v>
      </c>
      <c r="B267">
        <f t="shared" si="72"/>
        <v>1.2915436464758039</v>
      </c>
      <c r="C267" s="109" t="e">
        <f t="shared" si="73"/>
        <v>#N/A</v>
      </c>
      <c r="D267" s="109" t="e">
        <f t="shared" si="74"/>
        <v>#N/A</v>
      </c>
      <c r="E267" s="109" t="e">
        <f t="shared" si="75"/>
        <v>#N/A</v>
      </c>
      <c r="F267" s="109" t="e">
        <f t="shared" si="76"/>
        <v>#N/A</v>
      </c>
      <c r="G267" s="109">
        <f t="shared" si="77"/>
        <v>-91.16446145951133</v>
      </c>
      <c r="H267" s="109">
        <f t="shared" si="78"/>
        <v>-0.6599549562921545</v>
      </c>
      <c r="I267" s="109">
        <f t="shared" si="79"/>
        <v>-4.0810723137088303</v>
      </c>
      <c r="J267" s="109">
        <f t="shared" si="80"/>
        <v>-6.7627084525043971E-2</v>
      </c>
    </row>
    <row r="268" spans="1:10" x14ac:dyDescent="0.25">
      <c r="A268">
        <v>75</v>
      </c>
      <c r="B268">
        <f t="shared" si="72"/>
        <v>1.3089969389957472</v>
      </c>
      <c r="C268" s="109" t="e">
        <f t="shared" si="73"/>
        <v>#N/A</v>
      </c>
      <c r="D268" s="109" t="e">
        <f t="shared" si="74"/>
        <v>#N/A</v>
      </c>
      <c r="E268" s="109" t="e">
        <f t="shared" si="75"/>
        <v>#N/A</v>
      </c>
      <c r="F268" s="109" t="e">
        <f t="shared" si="76"/>
        <v>#N/A</v>
      </c>
      <c r="G268" s="109">
        <f t="shared" si="77"/>
        <v>-94.656232857558564</v>
      </c>
      <c r="H268" s="109">
        <f t="shared" si="78"/>
        <v>-0.69817807204577997</v>
      </c>
      <c r="I268" s="109">
        <f t="shared" si="79"/>
        <v>-4.2373851065475163</v>
      </c>
      <c r="J268" s="109">
        <f t="shared" si="80"/>
        <v>-7.1543894081871756E-2</v>
      </c>
    </row>
    <row r="269" spans="1:10" x14ac:dyDescent="0.25">
      <c r="A269">
        <v>76</v>
      </c>
      <c r="B269">
        <f t="shared" si="72"/>
        <v>1.3264502315156903</v>
      </c>
      <c r="C269" s="109" t="e">
        <f t="shared" si="73"/>
        <v>#N/A</v>
      </c>
      <c r="D269" s="109" t="e">
        <f t="shared" si="74"/>
        <v>#N/A</v>
      </c>
      <c r="E269" s="109" t="e">
        <f t="shared" si="75"/>
        <v>#N/A</v>
      </c>
      <c r="F269" s="109" t="e">
        <f t="shared" si="76"/>
        <v>#N/A</v>
      </c>
      <c r="G269" s="109">
        <f t="shared" si="77"/>
        <v>-98.083180918854652</v>
      </c>
      <c r="H269" s="109">
        <f t="shared" si="78"/>
        <v>-0.7363139886388359</v>
      </c>
      <c r="I269" s="109">
        <f t="shared" si="79"/>
        <v>-4.3907960150261998</v>
      </c>
      <c r="J269" s="109">
        <f t="shared" si="80"/>
        <v>-7.5451768142502207E-2</v>
      </c>
    </row>
    <row r="270" spans="1:10" x14ac:dyDescent="0.25">
      <c r="A270">
        <v>77</v>
      </c>
      <c r="B270">
        <f t="shared" si="72"/>
        <v>1.3439035240356338</v>
      </c>
      <c r="C270" s="109" t="e">
        <f t="shared" si="73"/>
        <v>#N/A</v>
      </c>
      <c r="D270" s="109" t="e">
        <f t="shared" si="74"/>
        <v>#N/A</v>
      </c>
      <c r="E270" s="109" t="e">
        <f t="shared" si="75"/>
        <v>#N/A</v>
      </c>
      <c r="F270" s="109" t="e">
        <f t="shared" si="76"/>
        <v>#N/A</v>
      </c>
      <c r="G270" s="109">
        <f t="shared" si="77"/>
        <v>-101.44176497636016</v>
      </c>
      <c r="H270" s="109">
        <f t="shared" si="78"/>
        <v>-0.77434289794834421</v>
      </c>
      <c r="I270" s="109">
        <f t="shared" si="79"/>
        <v>-4.5411465374875997</v>
      </c>
      <c r="J270" s="109">
        <f t="shared" si="80"/>
        <v>-7.9348676923547634E-2</v>
      </c>
    </row>
    <row r="271" spans="1:10" x14ac:dyDescent="0.25">
      <c r="A271">
        <v>78</v>
      </c>
      <c r="B271">
        <f t="shared" si="72"/>
        <v>1.3613568165555769</v>
      </c>
      <c r="C271" s="109" t="e">
        <f t="shared" si="73"/>
        <v>#N/A</v>
      </c>
      <c r="D271" s="109" t="e">
        <f t="shared" si="74"/>
        <v>#N/A</v>
      </c>
      <c r="E271" s="109" t="e">
        <f t="shared" si="75"/>
        <v>#N/A</v>
      </c>
      <c r="F271" s="109" t="e">
        <f t="shared" si="76"/>
        <v>#N/A</v>
      </c>
      <c r="G271" s="109">
        <f t="shared" si="77"/>
        <v>-104.72845429840666</v>
      </c>
      <c r="H271" s="109">
        <f t="shared" si="78"/>
        <v>-0.81224498872182216</v>
      </c>
      <c r="I271" s="109">
        <f t="shared" si="79"/>
        <v>-4.6882786170416866</v>
      </c>
      <c r="J271" s="109">
        <f t="shared" si="80"/>
        <v>-8.3232590320932873E-2</v>
      </c>
    </row>
    <row r="272" spans="1:10" x14ac:dyDescent="0.25">
      <c r="A272">
        <v>79</v>
      </c>
      <c r="B272">
        <f t="shared" si="72"/>
        <v>1.3788101090755203</v>
      </c>
      <c r="C272" s="109" t="e">
        <f t="shared" si="73"/>
        <v>#N/A</v>
      </c>
      <c r="D272" s="109" t="e">
        <f t="shared" si="74"/>
        <v>#N/A</v>
      </c>
      <c r="E272" s="109" t="e">
        <f t="shared" si="75"/>
        <v>#N/A</v>
      </c>
      <c r="F272" s="109" t="e">
        <f t="shared" si="76"/>
        <v>#N/A</v>
      </c>
      <c r="G272" s="109">
        <f t="shared" si="77"/>
        <v>-107.93972992805421</v>
      </c>
      <c r="H272" s="109">
        <f t="shared" si="78"/>
        <v>-0.85000045511809863</v>
      </c>
      <c r="I272" s="109">
        <f t="shared" si="79"/>
        <v>-4.8320347239064541</v>
      </c>
      <c r="J272" s="109">
        <f t="shared" si="80"/>
        <v>-8.7101478785092126E-2</v>
      </c>
    </row>
    <row r="273" spans="1:10" x14ac:dyDescent="0.25">
      <c r="A273">
        <v>80</v>
      </c>
      <c r="B273">
        <f t="shared" si="72"/>
        <v>1.3962634015954636</v>
      </c>
      <c r="C273" s="109" t="e">
        <f t="shared" si="73"/>
        <v>#N/A</v>
      </c>
      <c r="D273" s="109" t="e">
        <f t="shared" si="74"/>
        <v>#N/A</v>
      </c>
      <c r="E273" s="109" t="e">
        <f t="shared" si="75"/>
        <v>#N/A</v>
      </c>
      <c r="F273" s="109" t="e">
        <f t="shared" si="76"/>
        <v>#N/A</v>
      </c>
      <c r="G273" s="109">
        <f t="shared" si="77"/>
        <v>-111.0720865219451</v>
      </c>
      <c r="H273" s="109">
        <f t="shared" si="78"/>
        <v>-0.88758950525658398</v>
      </c>
      <c r="I273" s="109">
        <f t="shared" si="79"/>
        <v>-4.9722579377261171</v>
      </c>
      <c r="J273" s="109">
        <f t="shared" si="80"/>
        <v>-9.0953314197032162E-2</v>
      </c>
    </row>
    <row r="274" spans="1:10" x14ac:dyDescent="0.25">
      <c r="A274">
        <v>81</v>
      </c>
      <c r="B274">
        <f t="shared" si="72"/>
        <v>1.4137166941154069</v>
      </c>
      <c r="C274" s="109" t="e">
        <f t="shared" si="73"/>
        <v>#N/A</v>
      </c>
      <c r="D274" s="109" t="e">
        <f t="shared" si="74"/>
        <v>#N/A</v>
      </c>
      <c r="E274" s="109" t="e">
        <f t="shared" si="75"/>
        <v>#N/A</v>
      </c>
      <c r="F274" s="109" t="e">
        <f t="shared" si="76"/>
        <v>#N/A</v>
      </c>
      <c r="G274" s="109">
        <f t="shared" si="77"/>
        <v>-114.12203418786291</v>
      </c>
      <c r="H274" s="109">
        <f t="shared" si="78"/>
        <v>-0.92499236977165522</v>
      </c>
      <c r="I274" s="109">
        <f t="shared" si="79"/>
        <v>-5.1087920298313625</v>
      </c>
      <c r="J274" s="109">
        <f t="shared" si="80"/>
        <v>-9.4786070744919557E-2</v>
      </c>
    </row>
    <row r="275" spans="1:10" x14ac:dyDescent="0.25">
      <c r="A275">
        <v>82</v>
      </c>
      <c r="B275">
        <f t="shared" si="72"/>
        <v>1.43116998663535</v>
      </c>
      <c r="C275" s="109" t="e">
        <f t="shared" si="73"/>
        <v>#N/A</v>
      </c>
      <c r="D275" s="109" t="e">
        <f t="shared" si="74"/>
        <v>#N/A</v>
      </c>
      <c r="E275" s="109" t="e">
        <f t="shared" si="75"/>
        <v>#N/A</v>
      </c>
      <c r="F275" s="109" t="e">
        <f t="shared" si="76"/>
        <v>#N/A</v>
      </c>
      <c r="G275" s="109">
        <f t="shared" si="77"/>
        <v>-117.08610032019955</v>
      </c>
      <c r="H275" s="109">
        <f t="shared" si="78"/>
        <v>-0.96218931036875455</v>
      </c>
      <c r="I275" s="109">
        <f t="shared" si="79"/>
        <v>-5.2414815454059545</v>
      </c>
      <c r="J275" s="109">
        <f t="shared" si="80"/>
        <v>-9.8597725800843528E-2</v>
      </c>
    </row>
    <row r="276" spans="1:10" x14ac:dyDescent="0.25">
      <c r="A276">
        <v>83</v>
      </c>
      <c r="B276">
        <f t="shared" si="72"/>
        <v>1.4486232791552935</v>
      </c>
      <c r="C276" s="109" t="e">
        <f t="shared" si="73"/>
        <v>#N/A</v>
      </c>
      <c r="D276" s="109" t="e">
        <f t="shared" si="74"/>
        <v>#N/A</v>
      </c>
      <c r="E276" s="109" t="e">
        <f t="shared" si="75"/>
        <v>#N/A</v>
      </c>
      <c r="F276" s="109" t="e">
        <f t="shared" si="76"/>
        <v>#N/A</v>
      </c>
      <c r="G276" s="109">
        <f t="shared" si="77"/>
        <v>-119.96083143253907</v>
      </c>
      <c r="H276" s="109">
        <f t="shared" si="78"/>
        <v>-0.99916062837884301</v>
      </c>
      <c r="I276" s="109">
        <f t="shared" si="79"/>
        <v>-5.3701718855242548</v>
      </c>
      <c r="J276" s="109">
        <f t="shared" si="80"/>
        <v>-0.10238626079741033</v>
      </c>
    </row>
    <row r="277" spans="1:10" x14ac:dyDescent="0.25">
      <c r="A277">
        <v>84</v>
      </c>
      <c r="B277">
        <f t="shared" si="72"/>
        <v>1.4660765716752369</v>
      </c>
      <c r="C277" s="109" t="e">
        <f t="shared" si="73"/>
        <v>#N/A</v>
      </c>
      <c r="D277" s="109" t="e">
        <f t="shared" si="74"/>
        <v>#N/A</v>
      </c>
      <c r="E277" s="109" t="e">
        <f t="shared" si="75"/>
        <v>#N/A</v>
      </c>
      <c r="F277" s="109" t="e">
        <f t="shared" si="76"/>
        <v>#N/A</v>
      </c>
      <c r="G277" s="109">
        <f t="shared" si="77"/>
        <v>-122.74279498656051</v>
      </c>
      <c r="H277" s="109">
        <f t="shared" si="78"/>
        <v>-1.0358866733078114</v>
      </c>
      <c r="I277" s="109">
        <f t="shared" si="79"/>
        <v>-5.4947093890239742</v>
      </c>
      <c r="J277" s="109">
        <f t="shared" si="80"/>
        <v>-0.10614966210382071</v>
      </c>
    </row>
    <row r="278" spans="1:10" x14ac:dyDescent="0.25">
      <c r="A278">
        <v>85</v>
      </c>
      <c r="B278">
        <f t="shared" si="72"/>
        <v>1.4835298641951802</v>
      </c>
      <c r="C278" s="109" t="e">
        <f t="shared" si="73"/>
        <v>#N/A</v>
      </c>
      <c r="D278" s="109" t="e">
        <f t="shared" si="74"/>
        <v>#N/A</v>
      </c>
      <c r="E278" s="109" t="e">
        <f t="shared" si="75"/>
        <v>#N/A</v>
      </c>
      <c r="F278" s="109" t="e">
        <f t="shared" si="76"/>
        <v>#N/A</v>
      </c>
      <c r="G278" s="109">
        <f t="shared" si="77"/>
        <v>-125.42858121646954</v>
      </c>
      <c r="H278" s="109">
        <f t="shared" si="78"/>
        <v>-1.0723478513774867</v>
      </c>
      <c r="I278" s="109">
        <f t="shared" si="79"/>
        <v>-5.6149414141787561</v>
      </c>
      <c r="J278" s="109">
        <f t="shared" si="80"/>
        <v>-0.1098859219010864</v>
      </c>
    </row>
    <row r="279" spans="1:10" x14ac:dyDescent="0.25">
      <c r="A279">
        <v>86</v>
      </c>
      <c r="B279">
        <f t="shared" si="72"/>
        <v>1.5009831567151233</v>
      </c>
      <c r="C279" s="109" t="e">
        <f t="shared" si="73"/>
        <v>#N/A</v>
      </c>
      <c r="D279" s="109" t="e">
        <f t="shared" si="74"/>
        <v>#N/A</v>
      </c>
      <c r="E279" s="109" t="e">
        <f t="shared" si="75"/>
        <v>#N/A</v>
      </c>
      <c r="F279" s="109" t="e">
        <f t="shared" si="76"/>
        <v>#N/A</v>
      </c>
      <c r="G279" s="109">
        <f t="shared" si="77"/>
        <v>-128.01480494816357</v>
      </c>
      <c r="H279" s="109">
        <f t="shared" si="78"/>
        <v>-1.1085246340548363</v>
      </c>
      <c r="I279" s="109">
        <f t="shared" si="79"/>
        <v>-5.7307164201350069</v>
      </c>
      <c r="J279" s="109">
        <f t="shared" si="80"/>
        <v>-0.11359303905603692</v>
      </c>
    </row>
    <row r="280" spans="1:10" x14ac:dyDescent="0.25">
      <c r="A280">
        <v>87</v>
      </c>
      <c r="B280">
        <f t="shared" si="72"/>
        <v>1.5184364492350666</v>
      </c>
      <c r="C280" s="109" t="e">
        <f t="shared" si="73"/>
        <v>#N/A</v>
      </c>
      <c r="D280" s="109" t="e">
        <f t="shared" si="74"/>
        <v>#N/A</v>
      </c>
      <c r="E280" s="109" t="e">
        <f t="shared" si="75"/>
        <v>#N/A</v>
      </c>
      <c r="F280" s="109" t="e">
        <f t="shared" si="76"/>
        <v>#N/A</v>
      </c>
      <c r="G280" s="109">
        <f t="shared" si="77"/>
        <v>-130.49810741233915</v>
      </c>
      <c r="H280" s="109">
        <f t="shared" si="78"/>
        <v>-1.1443975665660067</v>
      </c>
      <c r="I280" s="109">
        <f t="shared" si="79"/>
        <v>-5.8418840480775343</v>
      </c>
      <c r="J280" s="109">
        <f t="shared" si="80"/>
        <v>-0.11726901999377255</v>
      </c>
    </row>
    <row r="281" spans="1:10" x14ac:dyDescent="0.25">
      <c r="A281">
        <v>88</v>
      </c>
      <c r="B281">
        <f t="shared" si="72"/>
        <v>1.5358897417550099</v>
      </c>
      <c r="C281" s="109" t="e">
        <f t="shared" si="73"/>
        <v>#N/A</v>
      </c>
      <c r="D281" s="109" t="e">
        <f t="shared" si="74"/>
        <v>#N/A</v>
      </c>
      <c r="E281" s="109" t="e">
        <f t="shared" si="75"/>
        <v>#N/A</v>
      </c>
      <c r="F281" s="109" t="e">
        <f t="shared" si="76"/>
        <v>#N/A</v>
      </c>
      <c r="G281" s="109">
        <f t="shared" si="77"/>
        <v>-132.87515805075077</v>
      </c>
      <c r="H281" s="109">
        <f t="shared" si="78"/>
        <v>-1.1799472763918075</v>
      </c>
      <c r="I281" s="109">
        <f t="shared" si="79"/>
        <v>-5.9482952020886177</v>
      </c>
      <c r="J281" s="109">
        <f t="shared" si="80"/>
        <v>-0.1209118795682159</v>
      </c>
    </row>
    <row r="282" spans="1:10" x14ac:dyDescent="0.25">
      <c r="A282">
        <v>89</v>
      </c>
      <c r="B282">
        <f t="shared" si="72"/>
        <v>1.5533430342749535</v>
      </c>
      <c r="C282" s="109" t="e">
        <f t="shared" si="73"/>
        <v>#N/A</v>
      </c>
      <c r="D282" s="109" t="e">
        <f t="shared" si="74"/>
        <v>#N/A</v>
      </c>
      <c r="E282" s="109" t="e">
        <f t="shared" si="75"/>
        <v>#N/A</v>
      </c>
      <c r="F282" s="109" t="e">
        <f t="shared" si="76"/>
        <v>#N/A</v>
      </c>
      <c r="G282" s="109">
        <f t="shared" si="77"/>
        <v>-135.14265631483391</v>
      </c>
      <c r="H282" s="109">
        <f t="shared" si="78"/>
        <v>-1.2151544817412834</v>
      </c>
      <c r="I282" s="109">
        <f t="shared" si="79"/>
        <v>-6.0498021296652418</v>
      </c>
      <c r="J282" s="109">
        <f t="shared" si="80"/>
        <v>-0.12451964193041805</v>
      </c>
    </row>
    <row r="283" spans="1:10" x14ac:dyDescent="0.25">
      <c r="A283">
        <v>90</v>
      </c>
      <c r="B283">
        <f t="shared" si="72"/>
        <v>1.5707963267948966</v>
      </c>
      <c r="C283" s="109" t="e">
        <f t="shared" si="73"/>
        <v>#N/A</v>
      </c>
      <c r="D283" s="109" t="e">
        <f t="shared" si="74"/>
        <v>#N/A</v>
      </c>
      <c r="E283" s="109" t="e">
        <f t="shared" si="75"/>
        <v>#N/A</v>
      </c>
      <c r="F283" s="109" t="e">
        <f t="shared" si="76"/>
        <v>#N/A</v>
      </c>
      <c r="G283" s="109">
        <f t="shared" si="77"/>
        <v>-137.29733345590296</v>
      </c>
      <c r="H283" s="109">
        <f t="shared" si="78"/>
        <v>-1.25</v>
      </c>
      <c r="I283" s="109">
        <f t="shared" si="79"/>
        <v>-6.146258501859176</v>
      </c>
      <c r="J283" s="109">
        <f t="shared" si="80"/>
        <v>-0.12809034139427355</v>
      </c>
    </row>
    <row r="284" spans="1:10" x14ac:dyDescent="0.25">
      <c r="A284">
        <v>91</v>
      </c>
      <c r="B284">
        <f t="shared" si="72"/>
        <v>1.5882496193148399</v>
      </c>
      <c r="C284" s="109" t="e">
        <f t="shared" si="73"/>
        <v>#N/A</v>
      </c>
      <c r="D284" s="109" t="e">
        <f t="shared" si="74"/>
        <v>#N/A</v>
      </c>
      <c r="E284" s="109" t="e">
        <f t="shared" si="75"/>
        <v>#N/A</v>
      </c>
      <c r="F284" s="109" t="e">
        <f t="shared" si="76"/>
        <v>#N/A</v>
      </c>
      <c r="G284" s="109">
        <f t="shared" si="77"/>
        <v>-139.33595430614224</v>
      </c>
      <c r="H284" s="109">
        <f t="shared" si="78"/>
        <v>-1.2844647561496954</v>
      </c>
      <c r="I284" s="109">
        <f t="shared" si="79"/>
        <v>-6.2375194930048989</v>
      </c>
      <c r="J284" s="109">
        <f t="shared" si="80"/>
        <v>-0.13162202329930148</v>
      </c>
    </row>
    <row r="285" spans="1:10" x14ac:dyDescent="0.25">
      <c r="A285">
        <v>92</v>
      </c>
      <c r="B285">
        <f t="shared" si="72"/>
        <v>1.605702911834783</v>
      </c>
      <c r="C285" s="109" t="e">
        <f t="shared" si="73"/>
        <v>#N/A</v>
      </c>
      <c r="D285" s="109" t="e">
        <f t="shared" si="74"/>
        <v>#N/A</v>
      </c>
      <c r="E285" s="109" t="e">
        <f t="shared" si="75"/>
        <v>#N/A</v>
      </c>
      <c r="F285" s="109" t="e">
        <f t="shared" si="76"/>
        <v>#N/A</v>
      </c>
      <c r="G285" s="109">
        <f t="shared" si="77"/>
        <v>-141.25531904960616</v>
      </c>
      <c r="H285" s="109">
        <f t="shared" si="78"/>
        <v>-1.3185297911559315</v>
      </c>
      <c r="I285" s="109">
        <f t="shared" si="79"/>
        <v>-6.3234418600002691</v>
      </c>
      <c r="J285" s="109">
        <f t="shared" si="80"/>
        <v>-0.13511274487014679</v>
      </c>
    </row>
    <row r="286" spans="1:10" x14ac:dyDescent="0.25">
      <c r="A286">
        <v>93</v>
      </c>
      <c r="B286">
        <f t="shared" si="72"/>
        <v>1.6231562043547263</v>
      </c>
      <c r="C286" s="109" t="e">
        <f t="shared" si="73"/>
        <v>#N/A</v>
      </c>
      <c r="D286" s="109" t="e">
        <f t="shared" si="74"/>
        <v>#N/A</v>
      </c>
      <c r="E286" s="109" t="e">
        <f t="shared" si="75"/>
        <v>#N/A</v>
      </c>
      <c r="F286" s="109" t="e">
        <f t="shared" si="76"/>
        <v>#N/A</v>
      </c>
      <c r="G286" s="109">
        <f t="shared" si="77"/>
        <v>-143.05226498245213</v>
      </c>
      <c r="H286" s="109">
        <f t="shared" si="78"/>
        <v>-1.3521762703204272</v>
      </c>
      <c r="I286" s="109">
        <f t="shared" si="79"/>
        <v>-6.4038840211051902</v>
      </c>
      <c r="J286" s="109">
        <f t="shared" si="80"/>
        <v>-0.13856057607246325</v>
      </c>
    </row>
    <row r="287" spans="1:10" x14ac:dyDescent="0.25">
      <c r="A287">
        <v>94</v>
      </c>
      <c r="B287">
        <f t="shared" si="72"/>
        <v>1.6406094968746698</v>
      </c>
      <c r="C287" s="109" t="e">
        <f t="shared" si="73"/>
        <v>#N/A</v>
      </c>
      <c r="D287" s="109" t="e">
        <f t="shared" si="74"/>
        <v>#N/A</v>
      </c>
      <c r="E287" s="109" t="e">
        <f t="shared" si="75"/>
        <v>#N/A</v>
      </c>
      <c r="F287" s="109" t="e">
        <f t="shared" si="76"/>
        <v>#N/A</v>
      </c>
      <c r="G287" s="109">
        <f t="shared" si="77"/>
        <v>-144.7236682616284</v>
      </c>
      <c r="H287" s="109">
        <f t="shared" si="78"/>
        <v>-1.3853854915947243</v>
      </c>
      <c r="I287" s="109">
        <f t="shared" si="79"/>
        <v>-6.4787061342234473</v>
      </c>
      <c r="J287" s="109">
        <f t="shared" si="80"/>
        <v>-0.14196360046483339</v>
      </c>
    </row>
    <row r="288" spans="1:10" x14ac:dyDescent="0.25">
      <c r="A288">
        <v>95</v>
      </c>
      <c r="B288">
        <f t="shared" si="72"/>
        <v>1.6580627893946132</v>
      </c>
      <c r="C288" s="109" t="e">
        <f t="shared" si="73"/>
        <v>#N/A</v>
      </c>
      <c r="D288" s="109" t="e">
        <f t="shared" si="74"/>
        <v>#N/A</v>
      </c>
      <c r="E288" s="109" t="e">
        <f t="shared" si="75"/>
        <v>#N/A</v>
      </c>
      <c r="F288" s="109" t="e">
        <f t="shared" si="76"/>
        <v>#N/A</v>
      </c>
      <c r="G288" s="109">
        <f t="shared" si="77"/>
        <v>-146.26644564124655</v>
      </c>
      <c r="H288" s="109">
        <f t="shared" si="78"/>
        <v>-1.4181388938518777</v>
      </c>
      <c r="I288" s="109">
        <f t="shared" si="79"/>
        <v>-6.5477701746332304</v>
      </c>
      <c r="J288" s="109">
        <f t="shared" si="80"/>
        <v>-0.14531991604638761</v>
      </c>
    </row>
    <row r="289" spans="1:10" x14ac:dyDescent="0.25">
      <c r="A289">
        <v>96</v>
      </c>
      <c r="B289">
        <f t="shared" ref="B289:B320" si="81">A289*PI()/180</f>
        <v>1.6755160819145563</v>
      </c>
      <c r="C289" s="109" t="e">
        <f t="shared" ref="C289:C320" si="82">IF(Load_Case=1,(0.0796*FA_SUS*D*0.5)-(0.238*FA_SUS*D*0.5*(1-COS(B289)))+(FA_SUS*0.5*D/PI())*(1-COS(B289)-B289*SIN(B289)*0.5),NA())</f>
        <v>#N/A</v>
      </c>
      <c r="D289" s="109" t="e">
        <f t="shared" ref="D289:D320" si="83">IF(Load_Case=1,0.238*FA_SUS*COS(B289)-(FA_SUS/(2*PI()))*B289*SIN(B289),NA())</f>
        <v>#N/A</v>
      </c>
      <c r="E289" s="109" t="e">
        <f t="shared" ref="E289:E320" si="84">0.000001*C289/Z_BareRoark</f>
        <v>#N/A</v>
      </c>
      <c r="F289" s="109" t="e">
        <f t="shared" ref="F289:F320" si="85">D289*1000/(beff_Bare_Roark*Tnet_Bare_Roark)</f>
        <v>#N/A</v>
      </c>
      <c r="G289" s="109">
        <f t="shared" ref="G289:G320" si="86">IF(Load_Case=2,(0.0796*FA_EXP*D*0.5)-(0.238*FA_EXP*D*0.5*(1-COS(B289)))+(FA_EXP*0.5*D/PI())*(1-COS(B289)-B289*SIN(B289)*0.5),NA())</f>
        <v>-147.67755619586978</v>
      </c>
      <c r="H289" s="109">
        <f t="shared" ref="H289:H320" si="87">IF(Load_Case=2,0.238*FA_EXP*COS(B289)-(FA_EXP/(2*PI()))*B289*SIN(B289),NA())</f>
        <v>-1.450418065112872</v>
      </c>
      <c r="I289" s="109">
        <f t="shared" ref="I289:I320" si="88">0.000001*G289/Z_BareRoark</f>
        <v>-6.6109400121319455</v>
      </c>
      <c r="J289" s="109">
        <f t="shared" ref="J289:J320" si="89">H289*1000/(beff_Bare_Roark*Tnet_Bare_Roark)</f>
        <v>-0.14862763609978358</v>
      </c>
    </row>
    <row r="290" spans="1:10" x14ac:dyDescent="0.25">
      <c r="A290">
        <v>97</v>
      </c>
      <c r="B290">
        <f t="shared" si="81"/>
        <v>1.6929693744344996</v>
      </c>
      <c r="C290" s="109" t="e">
        <f t="shared" si="82"/>
        <v>#N/A</v>
      </c>
      <c r="D290" s="109" t="e">
        <f t="shared" si="83"/>
        <v>#N/A</v>
      </c>
      <c r="E290" s="109" t="e">
        <f t="shared" si="84"/>
        <v>#N/A</v>
      </c>
      <c r="F290" s="109" t="e">
        <f t="shared" si="85"/>
        <v>#N/A</v>
      </c>
      <c r="G290" s="109">
        <f t="shared" si="86"/>
        <v>-148.95400302995429</v>
      </c>
      <c r="H290" s="109">
        <f t="shared" si="87"/>
        <v>-1.482204750724462</v>
      </c>
      <c r="I290" s="109">
        <f t="shared" si="88"/>
        <v>-6.6680814875611309</v>
      </c>
      <c r="J290" s="109">
        <f t="shared" si="89"/>
        <v>-0.15188489002920838</v>
      </c>
    </row>
    <row r="291" spans="1:10" x14ac:dyDescent="0.25">
      <c r="A291">
        <v>98</v>
      </c>
      <c r="B291">
        <f t="shared" si="81"/>
        <v>1.7104226669544429</v>
      </c>
      <c r="C291" s="109" t="e">
        <f t="shared" si="82"/>
        <v>#N/A</v>
      </c>
      <c r="D291" s="109" t="e">
        <f t="shared" si="83"/>
        <v>#N/A</v>
      </c>
      <c r="E291" s="109" t="e">
        <f t="shared" si="84"/>
        <v>#N/A</v>
      </c>
      <c r="F291" s="109" t="e">
        <f t="shared" si="85"/>
        <v>#N/A</v>
      </c>
      <c r="G291" s="109">
        <f t="shared" si="86"/>
        <v>-150.09283497268297</v>
      </c>
      <c r="H291" s="109">
        <f t="shared" si="87"/>
        <v>-1.5134808614851709</v>
      </c>
      <c r="I291" s="109">
        <f t="shared" si="88"/>
        <v>-6.719062488677463</v>
      </c>
      <c r="J291" s="109">
        <f t="shared" si="89"/>
        <v>-0.15508982419306783</v>
      </c>
    </row>
    <row r="292" spans="1:10" x14ac:dyDescent="0.25">
      <c r="A292">
        <v>99</v>
      </c>
      <c r="B292">
        <f t="shared" si="81"/>
        <v>1.7278759594743864</v>
      </c>
      <c r="C292" s="109" t="e">
        <f t="shared" si="82"/>
        <v>#N/A</v>
      </c>
      <c r="D292" s="109" t="e">
        <f t="shared" si="83"/>
        <v>#N/A</v>
      </c>
      <c r="E292" s="109" t="e">
        <f t="shared" si="84"/>
        <v>#N/A</v>
      </c>
      <c r="F292" s="109" t="e">
        <f t="shared" si="85"/>
        <v>#N/A</v>
      </c>
      <c r="G292" s="109">
        <f t="shared" si="86"/>
        <v>-151.09114825743805</v>
      </c>
      <c r="H292" s="109">
        <f t="shared" si="87"/>
        <v>-1.5442284817161895</v>
      </c>
      <c r="I292" s="109">
        <f t="shared" si="88"/>
        <v>-6.763753025336106</v>
      </c>
      <c r="J292" s="109">
        <f t="shared" si="89"/>
        <v>-0.15824060273102994</v>
      </c>
    </row>
    <row r="293" spans="1:10" x14ac:dyDescent="0.25">
      <c r="A293">
        <v>100</v>
      </c>
      <c r="B293">
        <f t="shared" si="81"/>
        <v>1.7453292519943295</v>
      </c>
      <c r="C293" s="109" t="e">
        <f t="shared" si="82"/>
        <v>#N/A</v>
      </c>
      <c r="D293" s="109" t="e">
        <f t="shared" si="83"/>
        <v>#N/A</v>
      </c>
      <c r="E293" s="109" t="e">
        <f t="shared" si="84"/>
        <v>#N/A</v>
      </c>
      <c r="F293" s="109" t="e">
        <f t="shared" si="85"/>
        <v>#N/A</v>
      </c>
      <c r="G293" s="109">
        <f t="shared" si="86"/>
        <v>-151.94608818516338</v>
      </c>
      <c r="H293" s="109">
        <f t="shared" si="87"/>
        <v>-1.5744298772739362</v>
      </c>
      <c r="I293" s="109">
        <f t="shared" si="88"/>
        <v>-6.8020253039528527</v>
      </c>
      <c r="J293" s="109">
        <f t="shared" si="89"/>
        <v>-0.16133540838509017</v>
      </c>
    </row>
    <row r="294" spans="1:10" x14ac:dyDescent="0.25">
      <c r="A294">
        <v>101</v>
      </c>
      <c r="B294">
        <f t="shared" si="81"/>
        <v>1.7627825445142729</v>
      </c>
      <c r="C294" s="109" t="e">
        <f t="shared" si="82"/>
        <v>#N/A</v>
      </c>
      <c r="D294" s="109" t="e">
        <f t="shared" si="83"/>
        <v>#N/A</v>
      </c>
      <c r="E294" s="109" t="e">
        <f t="shared" si="84"/>
        <v>#N/A</v>
      </c>
      <c r="F294" s="109" t="e">
        <f t="shared" si="85"/>
        <v>#N/A</v>
      </c>
      <c r="G294" s="109">
        <f t="shared" si="86"/>
        <v>-152.65485077087175</v>
      </c>
      <c r="H294" s="109">
        <f t="shared" si="87"/>
        <v>-1.6040675035010614</v>
      </c>
      <c r="I294" s="109">
        <f t="shared" si="88"/>
        <v>-6.8337538012117509</v>
      </c>
      <c r="J294" s="109">
        <f t="shared" si="89"/>
        <v>-0.16437244331432885</v>
      </c>
    </row>
    <row r="295" spans="1:10" x14ac:dyDescent="0.25">
      <c r="A295">
        <v>102</v>
      </c>
      <c r="B295">
        <f t="shared" si="81"/>
        <v>1.780235837034216</v>
      </c>
      <c r="C295" s="109" t="e">
        <f t="shared" si="82"/>
        <v>#N/A</v>
      </c>
      <c r="D295" s="109" t="e">
        <f t="shared" si="83"/>
        <v>#N/A</v>
      </c>
      <c r="E295" s="109" t="e">
        <f t="shared" si="84"/>
        <v>#N/A</v>
      </c>
      <c r="F295" s="109" t="e">
        <f t="shared" si="85"/>
        <v>#N/A</v>
      </c>
      <c r="G295" s="109">
        <f t="shared" si="86"/>
        <v>-153.21468437255913</v>
      </c>
      <c r="H295" s="109">
        <f t="shared" si="87"/>
        <v>-1.6331240131126914</v>
      </c>
      <c r="I295" s="109">
        <f t="shared" si="88"/>
        <v>-6.8588153369851517</v>
      </c>
      <c r="J295" s="109">
        <f t="shared" si="89"/>
        <v>-0.1673499299030326</v>
      </c>
    </row>
    <row r="296" spans="1:10" x14ac:dyDescent="0.25">
      <c r="A296">
        <v>103</v>
      </c>
      <c r="B296">
        <f t="shared" si="81"/>
        <v>1.7976891295541593</v>
      </c>
      <c r="C296" s="109" t="e">
        <f t="shared" si="82"/>
        <v>#N/A</v>
      </c>
      <c r="D296" s="109" t="e">
        <f t="shared" si="83"/>
        <v>#N/A</v>
      </c>
      <c r="E296" s="109" t="e">
        <f t="shared" si="84"/>
        <v>#N/A</v>
      </c>
      <c r="F296" s="109" t="e">
        <f t="shared" si="85"/>
        <v>#N/A</v>
      </c>
      <c r="G296" s="109">
        <f t="shared" si="86"/>
        <v>-153.62289130179502</v>
      </c>
      <c r="H296" s="109">
        <f t="shared" si="87"/>
        <v>-1.661582264014744</v>
      </c>
      <c r="I296" s="109">
        <f t="shared" si="88"/>
        <v>-6.8770891464334598</v>
      </c>
      <c r="J296" s="109">
        <f t="shared" si="89"/>
        <v>-0.17026611156185484</v>
      </c>
    </row>
    <row r="297" spans="1:10" x14ac:dyDescent="0.25">
      <c r="A297">
        <v>104</v>
      </c>
      <c r="B297">
        <f t="shared" si="81"/>
        <v>1.8151424220741028</v>
      </c>
      <c r="C297" s="109" t="e">
        <f t="shared" si="82"/>
        <v>#N/A</v>
      </c>
      <c r="D297" s="109" t="e">
        <f t="shared" si="83"/>
        <v>#N/A</v>
      </c>
      <c r="E297" s="109" t="e">
        <f t="shared" si="84"/>
        <v>#N/A</v>
      </c>
      <c r="F297" s="109" t="e">
        <f t="shared" si="85"/>
        <v>#N/A</v>
      </c>
      <c r="G297" s="109">
        <f t="shared" si="86"/>
        <v>-153.8768294152606</v>
      </c>
      <c r="H297" s="109">
        <f t="shared" si="87"/>
        <v>-1.6894253270511552</v>
      </c>
      <c r="I297" s="109">
        <f t="shared" si="88"/>
        <v>-6.8884569512520075</v>
      </c>
      <c r="J297" s="109">
        <f t="shared" si="89"/>
        <v>-0.17311925352169177</v>
      </c>
    </row>
    <row r="298" spans="1:10" x14ac:dyDescent="0.25">
      <c r="A298">
        <v>105</v>
      </c>
      <c r="B298">
        <f t="shared" si="81"/>
        <v>1.8325957145940461</v>
      </c>
      <c r="C298" s="109" t="e">
        <f t="shared" si="82"/>
        <v>#N/A</v>
      </c>
      <c r="D298" s="109" t="e">
        <f t="shared" si="83"/>
        <v>#N/A</v>
      </c>
      <c r="E298" s="109" t="e">
        <f t="shared" si="84"/>
        <v>#N/A</v>
      </c>
      <c r="F298" s="109" t="e">
        <f t="shared" si="85"/>
        <v>#N/A</v>
      </c>
      <c r="G298" s="109">
        <f t="shared" si="86"/>
        <v>-153.97391368651748</v>
      </c>
      <c r="H298" s="109">
        <f t="shared" si="87"/>
        <v>-1.7166364936768912</v>
      </c>
      <c r="I298" s="109">
        <f t="shared" si="88"/>
        <v>-6.8928030300329262</v>
      </c>
      <c r="J298" s="109">
        <f t="shared" si="89"/>
        <v>-0.17590764361995337</v>
      </c>
    </row>
    <row r="299" spans="1:10" x14ac:dyDescent="0.25">
      <c r="A299">
        <v>106</v>
      </c>
      <c r="B299">
        <f t="shared" si="81"/>
        <v>1.8500490071139892</v>
      </c>
      <c r="C299" s="109" t="e">
        <f t="shared" si="82"/>
        <v>#N/A</v>
      </c>
      <c r="D299" s="109" t="e">
        <f t="shared" si="83"/>
        <v>#N/A</v>
      </c>
      <c r="E299" s="109" t="e">
        <f t="shared" si="84"/>
        <v>#N/A</v>
      </c>
      <c r="F299" s="109" t="e">
        <f t="shared" si="85"/>
        <v>#N/A</v>
      </c>
      <c r="G299" s="109">
        <f t="shared" si="86"/>
        <v>-153.91161775729361</v>
      </c>
      <c r="H299" s="109">
        <f t="shared" si="87"/>
        <v>-1.743199283553643</v>
      </c>
      <c r="I299" s="109">
        <f t="shared" si="88"/>
        <v>-6.8900142877100725</v>
      </c>
      <c r="J299" s="109">
        <f t="shared" si="89"/>
        <v>-0.17862959307891138</v>
      </c>
    </row>
    <row r="300" spans="1:10" x14ac:dyDescent="0.25">
      <c r="A300">
        <v>107</v>
      </c>
      <c r="B300">
        <f t="shared" si="81"/>
        <v>1.8675022996339325</v>
      </c>
      <c r="C300" s="109" t="e">
        <f t="shared" si="82"/>
        <v>#N/A</v>
      </c>
      <c r="D300" s="109" t="e">
        <f t="shared" si="83"/>
        <v>#N/A</v>
      </c>
      <c r="E300" s="109" t="e">
        <f t="shared" si="84"/>
        <v>#N/A</v>
      </c>
      <c r="F300" s="109" t="e">
        <f t="shared" si="85"/>
        <v>#N/A</v>
      </c>
      <c r="G300" s="109">
        <f t="shared" si="86"/>
        <v>-153.68747546758203</v>
      </c>
      <c r="H300" s="109">
        <f t="shared" si="87"/>
        <v>-1.7690974520651233</v>
      </c>
      <c r="I300" s="109">
        <f t="shared" si="88"/>
        <v>-6.8799803240555022</v>
      </c>
      <c r="J300" s="109">
        <f t="shared" si="89"/>
        <v>-0.18128343727580892</v>
      </c>
    </row>
    <row r="301" spans="1:10" x14ac:dyDescent="0.25">
      <c r="A301">
        <v>108</v>
      </c>
      <c r="B301">
        <f t="shared" si="81"/>
        <v>1.8849555921538759</v>
      </c>
      <c r="C301" s="109" t="e">
        <f t="shared" si="82"/>
        <v>#N/A</v>
      </c>
      <c r="D301" s="109" t="e">
        <f t="shared" si="83"/>
        <v>#N/A</v>
      </c>
      <c r="E301" s="109" t="e">
        <f t="shared" si="84"/>
        <v>#N/A</v>
      </c>
      <c r="F301" s="109" t="e">
        <f t="shared" si="85"/>
        <v>#N/A</v>
      </c>
      <c r="G301" s="109">
        <f t="shared" si="86"/>
        <v>-153.29908236385293</v>
      </c>
      <c r="H301" s="109">
        <f t="shared" si="87"/>
        <v>-1.7943149977489177</v>
      </c>
      <c r="I301" s="109">
        <f t="shared" si="88"/>
        <v>-6.8625935011961561</v>
      </c>
      <c r="J301" s="109">
        <f t="shared" si="89"/>
        <v>-0.18386753650441925</v>
      </c>
    </row>
    <row r="302" spans="1:10" x14ac:dyDescent="0.25">
      <c r="A302">
        <v>109</v>
      </c>
      <c r="B302">
        <f t="shared" si="81"/>
        <v>1.902408884673819</v>
      </c>
      <c r="C302" s="109" t="e">
        <f t="shared" si="82"/>
        <v>#N/A</v>
      </c>
      <c r="D302" s="109" t="e">
        <f t="shared" si="83"/>
        <v>#N/A</v>
      </c>
      <c r="E302" s="109" t="e">
        <f t="shared" si="84"/>
        <v>#N/A</v>
      </c>
      <c r="F302" s="109" t="e">
        <f t="shared" si="85"/>
        <v>#N/A</v>
      </c>
      <c r="G302" s="109">
        <f t="shared" si="86"/>
        <v>-152.74409718469096</v>
      </c>
      <c r="H302" s="109">
        <f t="shared" si="87"/>
        <v>-1.8188361696418707</v>
      </c>
      <c r="I302" s="109">
        <f t="shared" si="88"/>
        <v>-6.8377490101199632</v>
      </c>
      <c r="J302" s="109">
        <f t="shared" si="89"/>
        <v>-0.18638027672774404</v>
      </c>
    </row>
    <row r="303" spans="1:10" x14ac:dyDescent="0.25">
      <c r="A303">
        <v>110</v>
      </c>
      <c r="B303">
        <f t="shared" si="81"/>
        <v>1.9198621771937625</v>
      </c>
      <c r="C303" s="109" t="e">
        <f t="shared" si="82"/>
        <v>#N/A</v>
      </c>
      <c r="D303" s="109" t="e">
        <f t="shared" si="83"/>
        <v>#N/A</v>
      </c>
      <c r="E303" s="109" t="e">
        <f t="shared" si="84"/>
        <v>#N/A</v>
      </c>
      <c r="F303" s="109" t="e">
        <f t="shared" si="85"/>
        <v>#N/A</v>
      </c>
      <c r="G303" s="109">
        <f t="shared" si="86"/>
        <v>-152.02024332317549</v>
      </c>
      <c r="H303" s="109">
        <f t="shared" si="87"/>
        <v>-1.842645474536017</v>
      </c>
      <c r="I303" s="109">
        <f t="shared" si="88"/>
        <v>-6.8053449361408287</v>
      </c>
      <c r="J303" s="109">
        <f t="shared" si="89"/>
        <v>-0.1888200703215453</v>
      </c>
    </row>
    <row r="304" spans="1:10" x14ac:dyDescent="0.25">
      <c r="A304">
        <v>111</v>
      </c>
      <c r="B304">
        <f t="shared" si="81"/>
        <v>1.9373154697137058</v>
      </c>
      <c r="C304" s="109" t="e">
        <f t="shared" si="82"/>
        <v>#N/A</v>
      </c>
      <c r="D304" s="109" t="e">
        <f t="shared" si="83"/>
        <v>#N/A</v>
      </c>
      <c r="E304" s="109" t="e">
        <f t="shared" si="84"/>
        <v>#N/A</v>
      </c>
      <c r="F304" s="109" t="e">
        <f t="shared" si="85"/>
        <v>#N/A</v>
      </c>
      <c r="G304" s="109">
        <f t="shared" si="86"/>
        <v>-151.12531026532812</v>
      </c>
      <c r="H304" s="109">
        <f t="shared" si="87"/>
        <v>-1.8657276841420933</v>
      </c>
      <c r="I304" s="109">
        <f t="shared" si="88"/>
        <v>-6.7652823232922268</v>
      </c>
      <c r="J304" s="109">
        <f t="shared" si="89"/>
        <v>-0.19118535680840651</v>
      </c>
    </row>
    <row r="305" spans="1:10" x14ac:dyDescent="0.25">
      <c r="A305">
        <v>112</v>
      </c>
      <c r="B305">
        <f t="shared" si="81"/>
        <v>1.9547687622336491</v>
      </c>
      <c r="C305" s="109" t="e">
        <f t="shared" si="82"/>
        <v>#N/A</v>
      </c>
      <c r="D305" s="109" t="e">
        <f t="shared" si="83"/>
        <v>#N/A</v>
      </c>
      <c r="E305" s="109" t="e">
        <f t="shared" si="84"/>
        <v>#N/A</v>
      </c>
      <c r="F305" s="109" t="e">
        <f t="shared" si="85"/>
        <v>#N/A</v>
      </c>
      <c r="G305" s="109">
        <f t="shared" si="86"/>
        <v>-150.05715500396602</v>
      </c>
      <c r="H305" s="109">
        <f t="shared" si="87"/>
        <v>-1.8880678421577159</v>
      </c>
      <c r="I305" s="109">
        <f t="shared" si="88"/>
        <v>-6.7174652376198303</v>
      </c>
      <c r="J305" s="109">
        <f t="shared" si="89"/>
        <v>-0.19347460358202498</v>
      </c>
    </row>
    <row r="306" spans="1:10" x14ac:dyDescent="0.25">
      <c r="A306">
        <v>113</v>
      </c>
      <c r="B306">
        <f t="shared" si="81"/>
        <v>1.9722220547535922</v>
      </c>
      <c r="C306" s="109" t="e">
        <f t="shared" si="82"/>
        <v>#N/A</v>
      </c>
      <c r="D306" s="109" t="e">
        <f t="shared" si="83"/>
        <v>#N/A</v>
      </c>
      <c r="E306" s="109" t="e">
        <f t="shared" si="84"/>
        <v>#N/A</v>
      </c>
      <c r="F306" s="109" t="e">
        <f t="shared" si="85"/>
        <v>#N/A</v>
      </c>
      <c r="G306" s="109">
        <f t="shared" si="86"/>
        <v>-148.81370342730034</v>
      </c>
      <c r="H306" s="109">
        <f t="shared" si="87"/>
        <v>-1.9096512712373157</v>
      </c>
      <c r="I306" s="109">
        <f t="shared" si="88"/>
        <v>-6.6618008293435675</v>
      </c>
      <c r="J306" s="109">
        <f t="shared" si="89"/>
        <v>-0.19568630662143702</v>
      </c>
    </row>
    <row r="307" spans="1:10" x14ac:dyDescent="0.25">
      <c r="A307">
        <v>114</v>
      </c>
      <c r="B307">
        <f t="shared" si="81"/>
        <v>1.9896753472735356</v>
      </c>
      <c r="C307" s="109" t="e">
        <f t="shared" si="82"/>
        <v>#N/A</v>
      </c>
      <c r="D307" s="109" t="e">
        <f t="shared" si="83"/>
        <v>#N/A</v>
      </c>
      <c r="E307" s="109" t="e">
        <f t="shared" si="84"/>
        <v>#N/A</v>
      </c>
      <c r="F307" s="109" t="e">
        <f t="shared" si="85"/>
        <v>#N/A</v>
      </c>
      <c r="G307" s="109">
        <f t="shared" si="86"/>
        <v>-147.39295168163758</v>
      </c>
      <c r="H307" s="109">
        <f t="shared" si="87"/>
        <v>-1.9304635798609868</v>
      </c>
      <c r="I307" s="109">
        <f t="shared" si="88"/>
        <v>-6.5981993938603685</v>
      </c>
      <c r="J307" s="109">
        <f t="shared" si="89"/>
        <v>-0.19781899119488422</v>
      </c>
    </row>
    <row r="308" spans="1:10" x14ac:dyDescent="0.25">
      <c r="A308">
        <v>115</v>
      </c>
      <c r="B308">
        <f t="shared" si="81"/>
        <v>2.0071286397934789</v>
      </c>
      <c r="C308" s="109" t="e">
        <f t="shared" si="82"/>
        <v>#N/A</v>
      </c>
      <c r="D308" s="109" t="e">
        <f t="shared" si="83"/>
        <v>#N/A</v>
      </c>
      <c r="E308" s="109" t="e">
        <f t="shared" si="84"/>
        <v>#N/A</v>
      </c>
      <c r="F308" s="109" t="e">
        <f t="shared" si="85"/>
        <v>#N/A</v>
      </c>
      <c r="G308" s="109">
        <f t="shared" si="86"/>
        <v>-145.79296750754142</v>
      </c>
      <c r="H308" s="109">
        <f t="shared" si="87"/>
        <v>-1.9504906690994148</v>
      </c>
      <c r="I308" s="109">
        <f t="shared" si="88"/>
        <v>-6.5265744315588456</v>
      </c>
      <c r="J308" s="109">
        <f t="shared" si="89"/>
        <v>-0.19987121255303131</v>
      </c>
    </row>
    <row r="309" spans="1:10" x14ac:dyDescent="0.25">
      <c r="A309">
        <v>116</v>
      </c>
      <c r="B309">
        <f t="shared" si="81"/>
        <v>2.0245819323134224</v>
      </c>
      <c r="C309" s="109" t="e">
        <f t="shared" si="82"/>
        <v>#N/A</v>
      </c>
      <c r="D309" s="109" t="e">
        <f t="shared" si="83"/>
        <v>#N/A</v>
      </c>
      <c r="E309" s="109" t="e">
        <f t="shared" si="84"/>
        <v>#N/A</v>
      </c>
      <c r="F309" s="109" t="e">
        <f t="shared" si="85"/>
        <v>#N/A</v>
      </c>
      <c r="G309" s="109">
        <f t="shared" si="86"/>
        <v>-144.01189154883036</v>
      </c>
      <c r="H309" s="109">
        <f t="shared" si="87"/>
        <v>-1.9697187392721047</v>
      </c>
      <c r="I309" s="109">
        <f t="shared" si="88"/>
        <v>-6.446842706417943</v>
      </c>
      <c r="J309" s="109">
        <f t="shared" si="89"/>
        <v>-0.20184155661124961</v>
      </c>
    </row>
    <row r="310" spans="1:10" x14ac:dyDescent="0.25">
      <c r="A310">
        <v>117</v>
      </c>
      <c r="B310">
        <f t="shared" si="81"/>
        <v>2.0420352248333655</v>
      </c>
      <c r="C310" s="109" t="e">
        <f t="shared" si="82"/>
        <v>#N/A</v>
      </c>
      <c r="D310" s="109" t="e">
        <f t="shared" si="83"/>
        <v>#N/A</v>
      </c>
      <c r="E310" s="109" t="e">
        <f t="shared" si="84"/>
        <v>#N/A</v>
      </c>
      <c r="F310" s="109" t="e">
        <f t="shared" si="85"/>
        <v>#N/A</v>
      </c>
      <c r="G310" s="109">
        <f t="shared" si="86"/>
        <v>-142.0479386337912</v>
      </c>
      <c r="H310" s="109">
        <f t="shared" si="87"/>
        <v>-1.9881342964961584</v>
      </c>
      <c r="I310" s="109">
        <f t="shared" si="88"/>
        <v>-6.3589243033617944</v>
      </c>
      <c r="J310" s="109">
        <f t="shared" si="89"/>
        <v>-0.20372864062068546</v>
      </c>
    </row>
    <row r="311" spans="1:10" x14ac:dyDescent="0.25">
      <c r="A311">
        <v>118</v>
      </c>
      <c r="B311">
        <f t="shared" si="81"/>
        <v>2.0594885173533086</v>
      </c>
      <c r="C311" s="109" t="e">
        <f t="shared" si="82"/>
        <v>#N/A</v>
      </c>
      <c r="D311" s="109" t="e">
        <f t="shared" si="83"/>
        <v>#N/A</v>
      </c>
      <c r="E311" s="109" t="e">
        <f t="shared" si="84"/>
        <v>#N/A</v>
      </c>
      <c r="F311" s="109" t="e">
        <f t="shared" si="85"/>
        <v>#N/A</v>
      </c>
      <c r="G311" s="109">
        <f t="shared" si="86"/>
        <v>-139.89939902800114</v>
      </c>
      <c r="H311" s="109">
        <f t="shared" si="87"/>
        <v>-2.0057241591228956</v>
      </c>
      <c r="I311" s="109">
        <f t="shared" si="88"/>
        <v>-6.2627426843436087</v>
      </c>
      <c r="J311" s="109">
        <f t="shared" si="89"/>
        <v>-0.20553111382783518</v>
      </c>
    </row>
    <row r="312" spans="1:10" x14ac:dyDescent="0.25">
      <c r="A312">
        <v>119</v>
      </c>
      <c r="B312">
        <f t="shared" si="81"/>
        <v>2.0769418098732522</v>
      </c>
      <c r="C312" s="109" t="e">
        <f t="shared" si="82"/>
        <v>#N/A</v>
      </c>
      <c r="D312" s="109" t="e">
        <f t="shared" si="83"/>
        <v>#N/A</v>
      </c>
      <c r="E312" s="109" t="e">
        <f t="shared" si="84"/>
        <v>#N/A</v>
      </c>
      <c r="F312" s="109" t="e">
        <f t="shared" si="85"/>
        <v>#N/A</v>
      </c>
      <c r="G312" s="109">
        <f t="shared" si="86"/>
        <v>-137.5646396581605</v>
      </c>
      <c r="H312" s="109">
        <f t="shared" si="87"/>
        <v>-2.0224754640596427</v>
      </c>
      <c r="I312" s="109">
        <f t="shared" si="88"/>
        <v>-6.1582247431318278</v>
      </c>
      <c r="J312" s="109">
        <f t="shared" si="89"/>
        <v>-0.20724765812235318</v>
      </c>
    </row>
    <row r="313" spans="1:10" x14ac:dyDescent="0.25">
      <c r="A313">
        <v>120</v>
      </c>
      <c r="B313">
        <f t="shared" si="81"/>
        <v>2.0943951023931953</v>
      </c>
      <c r="C313" s="109" t="e">
        <f t="shared" si="82"/>
        <v>#N/A</v>
      </c>
      <c r="D313" s="109" t="e">
        <f t="shared" si="83"/>
        <v>#N/A</v>
      </c>
      <c r="E313" s="109" t="e">
        <f t="shared" si="84"/>
        <v>#N/A</v>
      </c>
      <c r="F313" s="109" t="e">
        <f t="shared" si="85"/>
        <v>#N/A</v>
      </c>
      <c r="G313" s="109">
        <f t="shared" si="86"/>
        <v>-135.0421053063493</v>
      </c>
      <c r="H313" s="109">
        <f t="shared" si="87"/>
        <v>-2.0383756729740643</v>
      </c>
      <c r="I313" s="109">
        <f t="shared" si="88"/>
        <v>-6.0453008587722596</v>
      </c>
      <c r="J313" s="109">
        <f t="shared" si="89"/>
        <v>-0.20887698867282403</v>
      </c>
    </row>
    <row r="314" spans="1:10" x14ac:dyDescent="0.25">
      <c r="A314">
        <v>121</v>
      </c>
      <c r="B314">
        <f t="shared" si="81"/>
        <v>2.1118483949131388</v>
      </c>
      <c r="C314" s="109" t="e">
        <f t="shared" si="82"/>
        <v>#N/A</v>
      </c>
      <c r="D314" s="109" t="e">
        <f t="shared" si="83"/>
        <v>#N/A</v>
      </c>
      <c r="E314" s="109" t="e">
        <f t="shared" si="84"/>
        <v>#N/A</v>
      </c>
      <c r="F314" s="109" t="e">
        <f t="shared" si="85"/>
        <v>#N/A</v>
      </c>
      <c r="G314" s="109">
        <f t="shared" si="86"/>
        <v>-132.33031977413174</v>
      </c>
      <c r="H314" s="109">
        <f t="shared" si="87"/>
        <v>-2.0534125783784591</v>
      </c>
      <c r="I314" s="109">
        <f t="shared" si="88"/>
        <v>-5.9239049477004393</v>
      </c>
      <c r="J314" s="109">
        <f t="shared" si="89"/>
        <v>-0.2104178545502339</v>
      </c>
    </row>
    <row r="315" spans="1:10" x14ac:dyDescent="0.25">
      <c r="A315">
        <v>122</v>
      </c>
      <c r="B315">
        <f t="shared" si="81"/>
        <v>2.1293016874330819</v>
      </c>
      <c r="C315" s="109" t="e">
        <f t="shared" si="82"/>
        <v>#N/A</v>
      </c>
      <c r="D315" s="109" t="e">
        <f t="shared" si="83"/>
        <v>#N/A</v>
      </c>
      <c r="E315" s="109" t="e">
        <f t="shared" si="84"/>
        <v>#N/A</v>
      </c>
      <c r="F315" s="109" t="e">
        <f t="shared" si="85"/>
        <v>#N/A</v>
      </c>
      <c r="G315" s="109">
        <f t="shared" si="86"/>
        <v>-129.42788701594299</v>
      </c>
      <c r="H315" s="109">
        <f t="shared" si="87"/>
        <v>-2.0675743095914578</v>
      </c>
      <c r="I315" s="109">
        <f t="shared" si="88"/>
        <v>-5.7939745144788661</v>
      </c>
      <c r="J315" s="109">
        <f t="shared" si="89"/>
        <v>-0.21186903933887943</v>
      </c>
    </row>
    <row r="316" spans="1:10" x14ac:dyDescent="0.25">
      <c r="A316">
        <v>123</v>
      </c>
      <c r="B316">
        <f t="shared" si="81"/>
        <v>2.1467549799530254</v>
      </c>
      <c r="C316" s="109" t="e">
        <f t="shared" si="82"/>
        <v>#N/A</v>
      </c>
      <c r="D316" s="109" t="e">
        <f t="shared" si="83"/>
        <v>#N/A</v>
      </c>
      <c r="E316" s="109" t="e">
        <f t="shared" si="84"/>
        <v>#N/A</v>
      </c>
      <c r="F316" s="109" t="e">
        <f t="shared" si="85"/>
        <v>#N/A</v>
      </c>
      <c r="G316" s="109">
        <f t="shared" si="86"/>
        <v>-126.33349224120627</v>
      </c>
      <c r="H316" s="109">
        <f t="shared" si="87"/>
        <v>-2.080849338574648</v>
      </c>
      <c r="I316" s="109">
        <f t="shared" si="88"/>
        <v>-5.6554507011344324</v>
      </c>
      <c r="J316" s="109">
        <f t="shared" si="89"/>
        <v>-0.21322936173446</v>
      </c>
    </row>
    <row r="317" spans="1:10" x14ac:dyDescent="0.25">
      <c r="A317">
        <v>124</v>
      </c>
      <c r="B317">
        <f t="shared" si="81"/>
        <v>2.1642082724729685</v>
      </c>
      <c r="C317" s="109" t="e">
        <f t="shared" si="82"/>
        <v>#N/A</v>
      </c>
      <c r="D317" s="109" t="e">
        <f t="shared" si="83"/>
        <v>#N/A</v>
      </c>
      <c r="E317" s="109" t="e">
        <f t="shared" si="84"/>
        <v>#N/A</v>
      </c>
      <c r="F317" s="109" t="e">
        <f t="shared" si="85"/>
        <v>#N/A</v>
      </c>
      <c r="G317" s="109">
        <f t="shared" si="86"/>
        <v>-123.04590298463711</v>
      </c>
      <c r="H317" s="109">
        <f t="shared" si="87"/>
        <v>-2.0932264856416491</v>
      </c>
      <c r="I317" s="109">
        <f t="shared" si="88"/>
        <v>-5.5082783350716999</v>
      </c>
      <c r="J317" s="109">
        <f t="shared" si="89"/>
        <v>-0.21449767612909945</v>
      </c>
    </row>
    <row r="318" spans="1:10" x14ac:dyDescent="0.25">
      <c r="A318">
        <v>125</v>
      </c>
      <c r="B318">
        <f t="shared" si="81"/>
        <v>2.1816615649929116</v>
      </c>
      <c r="C318" s="109" t="e">
        <f t="shared" si="82"/>
        <v>#N/A</v>
      </c>
      <c r="D318" s="109" t="e">
        <f t="shared" si="83"/>
        <v>#N/A</v>
      </c>
      <c r="E318" s="109" t="e">
        <f t="shared" si="84"/>
        <v>#N/A</v>
      </c>
      <c r="F318" s="109" t="e">
        <f t="shared" si="85"/>
        <v>#N/A</v>
      </c>
      <c r="G318" s="109">
        <f t="shared" si="86"/>
        <v>-119.56397014420401</v>
      </c>
      <c r="H318" s="109">
        <f t="shared" si="87"/>
        <v>-2.1046949250372444</v>
      </c>
      <c r="I318" s="109">
        <f t="shared" si="88"/>
        <v>-5.3524059755383071</v>
      </c>
      <c r="J318" s="109">
        <f t="shared" si="89"/>
        <v>-0.21567287318305253</v>
      </c>
    </row>
    <row r="319" spans="1:10" x14ac:dyDescent="0.25">
      <c r="A319">
        <v>126</v>
      </c>
      <c r="B319">
        <f t="shared" si="81"/>
        <v>2.1991148575128552</v>
      </c>
      <c r="C319" s="109" t="e">
        <f t="shared" si="82"/>
        <v>#N/A</v>
      </c>
      <c r="D319" s="109" t="e">
        <f t="shared" si="83"/>
        <v>#N/A</v>
      </c>
      <c r="E319" s="109" t="e">
        <f t="shared" si="84"/>
        <v>#N/A</v>
      </c>
      <c r="F319" s="109" t="e">
        <f t="shared" si="85"/>
        <v>#N/A</v>
      </c>
      <c r="G319" s="109">
        <f t="shared" si="86"/>
        <v>-115.88662898623028</v>
      </c>
      <c r="H319" s="109">
        <f t="shared" si="87"/>
        <v>-2.115244190384201</v>
      </c>
      <c r="I319" s="109">
        <f t="shared" si="88"/>
        <v>-5.1877859586193917</v>
      </c>
      <c r="J319" s="109">
        <f t="shared" si="89"/>
        <v>-0.21675388038285287</v>
      </c>
    </row>
    <row r="320" spans="1:10" x14ac:dyDescent="0.25">
      <c r="A320">
        <v>127</v>
      </c>
      <c r="B320">
        <f t="shared" si="81"/>
        <v>2.2165681500327987</v>
      </c>
      <c r="C320" s="109" t="e">
        <f t="shared" si="82"/>
        <v>#N/A</v>
      </c>
      <c r="D320" s="109" t="e">
        <f t="shared" si="83"/>
        <v>#N/A</v>
      </c>
      <c r="E320" s="109" t="e">
        <f t="shared" si="84"/>
        <v>#N/A</v>
      </c>
      <c r="F320" s="109" t="e">
        <f t="shared" si="85"/>
        <v>#N/A</v>
      </c>
      <c r="G320" s="109">
        <f t="shared" si="86"/>
        <v>-112.01290011712837</v>
      </c>
      <c r="H320" s="109">
        <f t="shared" si="87"/>
        <v>-2.1248641799954679</v>
      </c>
      <c r="I320" s="109">
        <f t="shared" si="88"/>
        <v>-5.0143744407382966</v>
      </c>
      <c r="J320" s="109">
        <f t="shared" si="89"/>
        <v>-0.21773966258566613</v>
      </c>
    </row>
    <row r="321" spans="1:10" x14ac:dyDescent="0.25">
      <c r="A321">
        <v>128</v>
      </c>
      <c r="B321">
        <f t="shared" ref="B321:B352" si="90">A321*PI()/180</f>
        <v>2.2340214425527418</v>
      </c>
      <c r="C321" s="109" t="e">
        <f t="shared" ref="C321:C352" si="91">IF(Load_Case=1,(0.0796*FA_SUS*D*0.5)-(0.238*FA_SUS*D*0.5*(1-COS(B321)))+(FA_SUS*0.5*D/PI())*(1-COS(B321)-B321*SIN(B321)*0.5),NA())</f>
        <v>#N/A</v>
      </c>
      <c r="D321" s="109" t="e">
        <f t="shared" ref="D321:D352" si="92">IF(Load_Case=1,0.238*FA_SUS*COS(B321)-(FA_SUS/(2*PI()))*B321*SIN(B321),NA())</f>
        <v>#N/A</v>
      </c>
      <c r="E321" s="109" t="e">
        <f t="shared" ref="E321:E352" si="93">0.000001*C321/Z_BareRoark</f>
        <v>#N/A</v>
      </c>
      <c r="F321" s="109" t="e">
        <f t="shared" ref="F321:F352" si="94">D321*1000/(beff_Bare_Roark*Tnet_Bare_Roark)</f>
        <v>#N/A</v>
      </c>
      <c r="G321" s="109">
        <f t="shared" ref="G321:G352" si="95">IF(Load_Case=2,(0.0796*FA_EXP*D*0.5)-(0.238*FA_EXP*D*0.5*(1-COS(B321)))+(FA_EXP*0.5*D/PI())*(1-COS(B321)-B321*SIN(B321)*0.5),NA())</f>
        <v>-107.94189042127545</v>
      </c>
      <c r="H321" s="109">
        <f t="shared" ref="H321:H352" si="96">IF(Load_Case=2,0.238*FA_EXP*COS(B321)-(FA_EXP/(2*PI()))*B321*SIN(B321),NA())</f>
        <v>-2.1335451620494839</v>
      </c>
      <c r="I321" s="109">
        <f t="shared" ref="I321:I352" si="97">0.000001*G321/Z_BareRoark</f>
        <v>-4.8321314406415503</v>
      </c>
      <c r="J321" s="109">
        <f t="shared" ref="J321:J352" si="98">H321*1000/(beff_Bare_Roark*Tnet_Bare_Roark)</f>
        <v>-0.21862922254961525</v>
      </c>
    </row>
    <row r="322" spans="1:10" x14ac:dyDescent="0.25">
      <c r="A322">
        <v>129</v>
      </c>
      <c r="B322">
        <f t="shared" si="90"/>
        <v>2.2514747350726849</v>
      </c>
      <c r="C322" s="109" t="e">
        <f t="shared" si="91"/>
        <v>#N/A</v>
      </c>
      <c r="D322" s="109" t="e">
        <f t="shared" si="92"/>
        <v>#N/A</v>
      </c>
      <c r="E322" s="109" t="e">
        <f t="shared" si="93"/>
        <v>#N/A</v>
      </c>
      <c r="F322" s="109" t="e">
        <f t="shared" si="94"/>
        <v>#N/A</v>
      </c>
      <c r="G322" s="109">
        <f t="shared" si="95"/>
        <v>-103.67279396454774</v>
      </c>
      <c r="H322" s="109">
        <f t="shared" si="96"/>
        <v>-2.1412777796263791</v>
      </c>
      <c r="I322" s="109">
        <f t="shared" si="97"/>
        <v>-4.6410208798465229</v>
      </c>
      <c r="J322" s="109">
        <f t="shared" si="98"/>
        <v>-0.21942160144985198</v>
      </c>
    </row>
    <row r="323" spans="1:10" x14ac:dyDescent="0.25">
      <c r="A323">
        <v>130</v>
      </c>
      <c r="B323">
        <f t="shared" si="90"/>
        <v>2.2689280275926285</v>
      </c>
      <c r="C323" s="109" t="e">
        <f t="shared" si="91"/>
        <v>#N/A</v>
      </c>
      <c r="D323" s="109" t="e">
        <f t="shared" si="92"/>
        <v>#N/A</v>
      </c>
      <c r="E323" s="109" t="e">
        <f t="shared" si="93"/>
        <v>#N/A</v>
      </c>
      <c r="F323" s="109" t="e">
        <f t="shared" si="94"/>
        <v>#N/A</v>
      </c>
      <c r="G323" s="109">
        <f t="shared" si="95"/>
        <v>-99.204892863049395</v>
      </c>
      <c r="H323" s="109">
        <f t="shared" si="96"/>
        <v>-2.1480530556029143</v>
      </c>
      <c r="I323" s="109">
        <f t="shared" si="97"/>
        <v>-4.4410106215309817</v>
      </c>
      <c r="J323" s="109">
        <f t="shared" si="98"/>
        <v>-0.22011587938015184</v>
      </c>
    </row>
    <row r="324" spans="1:10" x14ac:dyDescent="0.25">
      <c r="A324">
        <v>131</v>
      </c>
      <c r="B324">
        <f t="shared" si="90"/>
        <v>2.286381320112572</v>
      </c>
      <c r="C324" s="109" t="e">
        <f t="shared" si="91"/>
        <v>#N/A</v>
      </c>
      <c r="D324" s="109" t="e">
        <f t="shared" si="92"/>
        <v>#N/A</v>
      </c>
      <c r="E324" s="109" t="e">
        <f t="shared" si="93"/>
        <v>#N/A</v>
      </c>
      <c r="F324" s="109" t="e">
        <f t="shared" si="94"/>
        <v>#N/A</v>
      </c>
      <c r="G324" s="109">
        <f t="shared" si="95"/>
        <v>-94.537558116577202</v>
      </c>
      <c r="H324" s="109">
        <f t="shared" si="96"/>
        <v>-2.153862397404025</v>
      </c>
      <c r="I324" s="109">
        <f t="shared" si="97"/>
        <v>-4.23207250784401</v>
      </c>
      <c r="J324" s="109">
        <f t="shared" si="98"/>
        <v>-0.22071117583981609</v>
      </c>
    </row>
    <row r="325" spans="1:10" x14ac:dyDescent="0.25">
      <c r="A325">
        <v>132</v>
      </c>
      <c r="B325">
        <f t="shared" si="90"/>
        <v>2.3038346126325151</v>
      </c>
      <c r="C325" s="109" t="e">
        <f t="shared" si="91"/>
        <v>#N/A</v>
      </c>
      <c r="D325" s="109" t="e">
        <f t="shared" si="92"/>
        <v>#N/A</v>
      </c>
      <c r="E325" s="109" t="e">
        <f t="shared" si="93"/>
        <v>#N/A</v>
      </c>
      <c r="F325" s="109" t="e">
        <f t="shared" si="94"/>
        <v>#N/A</v>
      </c>
      <c r="G325" s="109">
        <f t="shared" si="95"/>
        <v>-89.670250406384298</v>
      </c>
      <c r="H325" s="109">
        <f t="shared" si="96"/>
        <v>-2.1586976016089308</v>
      </c>
      <c r="I325" s="109">
        <f t="shared" si="97"/>
        <v>-4.0141823956187341</v>
      </c>
      <c r="J325" s="109">
        <f t="shared" si="98"/>
        <v>-0.22120665020566999</v>
      </c>
    </row>
    <row r="326" spans="1:10" x14ac:dyDescent="0.25">
      <c r="A326">
        <v>133</v>
      </c>
      <c r="B326">
        <f t="shared" si="90"/>
        <v>2.3212879051524582</v>
      </c>
      <c r="C326" s="109" t="e">
        <f t="shared" si="91"/>
        <v>#N/A</v>
      </c>
      <c r="D326" s="109" t="e">
        <f t="shared" si="92"/>
        <v>#N/A</v>
      </c>
      <c r="E326" s="109" t="e">
        <f t="shared" si="93"/>
        <v>#N/A</v>
      </c>
      <c r="F326" s="109" t="e">
        <f t="shared" si="94"/>
        <v>#N/A</v>
      </c>
      <c r="G326" s="109">
        <f t="shared" si="95"/>
        <v>-84.602520856810258</v>
      </c>
      <c r="H326" s="109">
        <f t="shared" si="96"/>
        <v>-2.1625508584097854</v>
      </c>
      <c r="I326" s="109">
        <f t="shared" si="97"/>
        <v>-3.7873201904674856</v>
      </c>
      <c r="J326" s="109">
        <f t="shared" si="98"/>
        <v>-0.22160150218895103</v>
      </c>
    </row>
    <row r="327" spans="1:10" x14ac:dyDescent="0.25">
      <c r="A327">
        <v>134</v>
      </c>
      <c r="B327">
        <f t="shared" si="90"/>
        <v>2.3387411976724013</v>
      </c>
      <c r="C327" s="109" t="e">
        <f t="shared" si="91"/>
        <v>#N/A</v>
      </c>
      <c r="D327" s="109" t="e">
        <f t="shared" si="92"/>
        <v>#N/A</v>
      </c>
      <c r="E327" s="109" t="e">
        <f t="shared" si="93"/>
        <v>#N/A</v>
      </c>
      <c r="F327" s="109" t="e">
        <f t="shared" si="94"/>
        <v>#N/A</v>
      </c>
      <c r="G327" s="109">
        <f t="shared" si="95"/>
        <v>-79.334011760369606</v>
      </c>
      <c r="H327" s="109">
        <f t="shared" si="96"/>
        <v>-2.1654147559209185</v>
      </c>
      <c r="I327" s="109">
        <f t="shared" si="97"/>
        <v>-3.5514698792411492</v>
      </c>
      <c r="J327" s="109">
        <f t="shared" si="98"/>
        <v>-0.22189497227688643</v>
      </c>
    </row>
    <row r="328" spans="1:10" x14ac:dyDescent="0.25">
      <c r="A328">
        <v>135</v>
      </c>
      <c r="B328">
        <f t="shared" si="90"/>
        <v>2.3561944901923448</v>
      </c>
      <c r="C328" s="109" t="e">
        <f t="shared" si="91"/>
        <v>#N/A</v>
      </c>
      <c r="D328" s="109" t="e">
        <f t="shared" si="92"/>
        <v>#N/A</v>
      </c>
      <c r="E328" s="109" t="e">
        <f t="shared" si="93"/>
        <v>#N/A</v>
      </c>
      <c r="F328" s="109" t="e">
        <f t="shared" si="94"/>
        <v>#N/A</v>
      </c>
      <c r="G328" s="109">
        <f t="shared" si="95"/>
        <v>-73.864457265892497</v>
      </c>
      <c r="H328" s="109">
        <f t="shared" si="96"/>
        <v>-2.1672822843367681</v>
      </c>
      <c r="I328" s="109">
        <f t="shared" si="97"/>
        <v>-3.3066195608344984</v>
      </c>
      <c r="J328" s="109">
        <f t="shared" si="98"/>
        <v>-0.22208634215876616</v>
      </c>
    </row>
    <row r="329" spans="1:10" x14ac:dyDescent="0.25">
      <c r="A329">
        <v>136</v>
      </c>
      <c r="B329">
        <f t="shared" si="90"/>
        <v>2.3736477827122884</v>
      </c>
      <c r="C329" s="109" t="e">
        <f t="shared" si="91"/>
        <v>#N/A</v>
      </c>
      <c r="D329" s="109" t="e">
        <f t="shared" si="92"/>
        <v>#N/A</v>
      </c>
      <c r="E329" s="109" t="e">
        <f t="shared" si="93"/>
        <v>#N/A</v>
      </c>
      <c r="F329" s="109" t="e">
        <f t="shared" si="94"/>
        <v>#N/A</v>
      </c>
      <c r="G329" s="109">
        <f t="shared" si="95"/>
        <v>-68.193684029337192</v>
      </c>
      <c r="H329" s="109">
        <f t="shared" si="96"/>
        <v>-2.1681468399366564</v>
      </c>
      <c r="I329" s="109">
        <f t="shared" si="97"/>
        <v>-3.052761475320493</v>
      </c>
      <c r="J329" s="109">
        <f t="shared" si="98"/>
        <v>-0.22217493513632136</v>
      </c>
    </row>
    <row r="330" spans="1:10" x14ac:dyDescent="0.25">
      <c r="A330">
        <v>137</v>
      </c>
      <c r="B330">
        <f t="shared" si="90"/>
        <v>2.3911010752322315</v>
      </c>
      <c r="C330" s="109" t="e">
        <f t="shared" si="91"/>
        <v>#N/A</v>
      </c>
      <c r="D330" s="109" t="e">
        <f t="shared" si="92"/>
        <v>#N/A</v>
      </c>
      <c r="E330" s="109" t="e">
        <f t="shared" si="93"/>
        <v>#N/A</v>
      </c>
      <c r="F330" s="109" t="e">
        <f t="shared" si="94"/>
        <v>#N/A</v>
      </c>
      <c r="G330" s="109">
        <f t="shared" si="95"/>
        <v>-62.321611826897879</v>
      </c>
      <c r="H330" s="109">
        <f t="shared" si="96"/>
        <v>-2.1680022289346228</v>
      </c>
      <c r="I330" s="109">
        <f t="shared" si="97"/>
        <v>-2.7898920313966946</v>
      </c>
      <c r="J330" s="109">
        <f t="shared" si="98"/>
        <v>-0.22216011651822551</v>
      </c>
    </row>
    <row r="331" spans="1:10" x14ac:dyDescent="0.25">
      <c r="A331">
        <v>138</v>
      </c>
      <c r="B331">
        <f t="shared" si="90"/>
        <v>2.4085543677521746</v>
      </c>
      <c r="C331" s="109" t="e">
        <f t="shared" si="91"/>
        <v>#N/A</v>
      </c>
      <c r="D331" s="109" t="e">
        <f t="shared" si="92"/>
        <v>#N/A</v>
      </c>
      <c r="E331" s="109" t="e">
        <f t="shared" si="93"/>
        <v>#N/A</v>
      </c>
      <c r="F331" s="109" t="e">
        <f t="shared" si="94"/>
        <v>#N/A</v>
      </c>
      <c r="G331" s="109">
        <f t="shared" si="95"/>
        <v>-56.24825413005226</v>
      </c>
      <c r="H331" s="109">
        <f t="shared" si="96"/>
        <v>-2.1668426711725775</v>
      </c>
      <c r="I331" s="109">
        <f t="shared" si="97"/>
        <v>-2.5180118321278693</v>
      </c>
      <c r="J331" s="109">
        <f t="shared" si="98"/>
        <v>-0.22204129399854008</v>
      </c>
    </row>
    <row r="332" spans="1:10" x14ac:dyDescent="0.25">
      <c r="A332">
        <v>139</v>
      </c>
      <c r="B332">
        <f t="shared" si="90"/>
        <v>2.4260076602721181</v>
      </c>
      <c r="C332" s="109" t="e">
        <f t="shared" si="91"/>
        <v>#N/A</v>
      </c>
      <c r="D332" s="109" t="e">
        <f t="shared" si="92"/>
        <v>#N/A</v>
      </c>
      <c r="E332" s="109" t="e">
        <f t="shared" si="93"/>
        <v>#N/A</v>
      </c>
      <c r="F332" s="109" t="e">
        <f t="shared" si="94"/>
        <v>#N/A</v>
      </c>
      <c r="G332" s="109">
        <f t="shared" si="95"/>
        <v>-49.973718642207928</v>
      </c>
      <c r="H332" s="109">
        <f t="shared" si="96"/>
        <v>-2.1646628036551059</v>
      </c>
      <c r="I332" s="109">
        <f t="shared" si="97"/>
        <v>-2.2371256989695252</v>
      </c>
      <c r="J332" s="109">
        <f t="shared" si="98"/>
        <v>-0.22181791801893433</v>
      </c>
    </row>
    <row r="333" spans="1:10" x14ac:dyDescent="0.25">
      <c r="A333">
        <v>140</v>
      </c>
      <c r="B333">
        <f t="shared" si="90"/>
        <v>2.4434609527920612</v>
      </c>
      <c r="C333" s="109" t="e">
        <f t="shared" si="91"/>
        <v>#N/A</v>
      </c>
      <c r="D333" s="109" t="e">
        <f t="shared" si="92"/>
        <v>#N/A</v>
      </c>
      <c r="E333" s="109" t="e">
        <f t="shared" si="93"/>
        <v>#N/A</v>
      </c>
      <c r="F333" s="109" t="e">
        <f t="shared" si="94"/>
        <v>#N/A</v>
      </c>
      <c r="G333" s="109">
        <f t="shared" si="95"/>
        <v>-43.498207796616327</v>
      </c>
      <c r="H333" s="109">
        <f t="shared" si="96"/>
        <v>-2.1614576839242994</v>
      </c>
      <c r="I333" s="109">
        <f t="shared" si="97"/>
        <v>-1.9472426940575496</v>
      </c>
      <c r="J333" s="109">
        <f t="shared" si="98"/>
        <v>-0.2214894821145115</v>
      </c>
    </row>
    <row r="334" spans="1:10" x14ac:dyDescent="0.25">
      <c r="A334">
        <v>141</v>
      </c>
      <c r="B334">
        <f t="shared" si="90"/>
        <v>2.4609142453120043</v>
      </c>
      <c r="C334" s="109" t="e">
        <f t="shared" si="91"/>
        <v>#N/A</v>
      </c>
      <c r="D334" s="109" t="e">
        <f t="shared" si="92"/>
        <v>#N/A</v>
      </c>
      <c r="E334" s="109" t="e">
        <f t="shared" si="93"/>
        <v>#N/A</v>
      </c>
      <c r="F334" s="109" t="e">
        <f t="shared" si="94"/>
        <v>#N/A</v>
      </c>
      <c r="G334" s="109">
        <f t="shared" si="95"/>
        <v>-36.822019215241085</v>
      </c>
      <c r="H334" s="109">
        <f t="shared" si="96"/>
        <v>-2.1572227932730605</v>
      </c>
      <c r="I334" s="109">
        <f t="shared" si="97"/>
        <v>-1.6483761407499291</v>
      </c>
      <c r="J334" s="109">
        <f t="shared" si="98"/>
        <v>-0.22105552324308381</v>
      </c>
    </row>
    <row r="335" spans="1:10" x14ac:dyDescent="0.25">
      <c r="A335">
        <v>142</v>
      </c>
      <c r="B335">
        <f t="shared" si="90"/>
        <v>2.4783675378319479</v>
      </c>
      <c r="C335" s="109" t="e">
        <f t="shared" si="91"/>
        <v>#N/A</v>
      </c>
      <c r="D335" s="109" t="e">
        <f t="shared" si="92"/>
        <v>#N/A</v>
      </c>
      <c r="E335" s="109" t="e">
        <f t="shared" si="93"/>
        <v>#N/A</v>
      </c>
      <c r="F335" s="109" t="e">
        <f t="shared" si="94"/>
        <v>#N/A</v>
      </c>
      <c r="G335" s="109">
        <f t="shared" si="95"/>
        <v>-29.945546128285173</v>
      </c>
      <c r="H335" s="109">
        <f t="shared" si="96"/>
        <v>-2.1519540397953811</v>
      </c>
      <c r="I335" s="109">
        <f t="shared" si="97"/>
        <v>-1.3405436424073223</v>
      </c>
      <c r="J335" s="109">
        <f t="shared" si="98"/>
        <v>-0.22051562209774123</v>
      </c>
    </row>
    <row r="336" spans="1:10" x14ac:dyDescent="0.25">
      <c r="A336">
        <v>143</v>
      </c>
      <c r="B336">
        <f t="shared" si="90"/>
        <v>2.4958208303518914</v>
      </c>
      <c r="C336" s="109" t="e">
        <f t="shared" si="91"/>
        <v>#N/A</v>
      </c>
      <c r="D336" s="109" t="e">
        <f t="shared" si="92"/>
        <v>#N/A</v>
      </c>
      <c r="E336" s="109" t="e">
        <f t="shared" si="93"/>
        <v>#N/A</v>
      </c>
      <c r="F336" s="109" t="e">
        <f t="shared" si="94"/>
        <v>#N/A</v>
      </c>
      <c r="G336" s="109">
        <f t="shared" si="95"/>
        <v>-22.869277754092195</v>
      </c>
      <c r="H336" s="109">
        <f t="shared" si="96"/>
        <v>-2.1456477612721523</v>
      </c>
      <c r="I336" s="109">
        <f t="shared" si="97"/>
        <v>-1.0237670993997359</v>
      </c>
      <c r="J336" s="109">
        <f t="shared" si="98"/>
        <v>-0.21986940340256703</v>
      </c>
    </row>
    <row r="337" spans="1:10" x14ac:dyDescent="0.25">
      <c r="A337">
        <v>144</v>
      </c>
      <c r="B337">
        <f t="shared" si="90"/>
        <v>2.5132741228718345</v>
      </c>
      <c r="C337" s="109" t="e">
        <f t="shared" si="91"/>
        <v>#N/A</v>
      </c>
      <c r="D337" s="109" t="e">
        <f t="shared" si="92"/>
        <v>#N/A</v>
      </c>
      <c r="E337" s="109" t="e">
        <f t="shared" si="93"/>
        <v>#N/A</v>
      </c>
      <c r="F337" s="109" t="e">
        <f t="shared" si="94"/>
        <v>#N/A</v>
      </c>
      <c r="G337" s="109">
        <f t="shared" si="95"/>
        <v>-15.593799639151939</v>
      </c>
      <c r="H337" s="109">
        <f t="shared" si="96"/>
        <v>-2.1383007278911337</v>
      </c>
      <c r="I337" s="109">
        <f t="shared" si="97"/>
        <v>-0.69807272432722889</v>
      </c>
      <c r="J337" s="109">
        <f t="shared" si="98"/>
        <v>-0.21911653619135918</v>
      </c>
    </row>
    <row r="338" spans="1:10" x14ac:dyDescent="0.25">
      <c r="A338">
        <v>145</v>
      </c>
      <c r="B338">
        <f t="shared" si="90"/>
        <v>2.5307274153917776</v>
      </c>
      <c r="C338" s="109" t="e">
        <f t="shared" si="91"/>
        <v>#N/A</v>
      </c>
      <c r="D338" s="109" t="e">
        <f t="shared" si="92"/>
        <v>#N/A</v>
      </c>
      <c r="E338" s="109" t="e">
        <f t="shared" si="93"/>
        <v>#N/A</v>
      </c>
      <c r="F338" s="109" t="e">
        <f t="shared" si="94"/>
        <v>#N/A</v>
      </c>
      <c r="G338" s="109">
        <f t="shared" si="95"/>
        <v>-8.1197939579601552</v>
      </c>
      <c r="H338" s="109">
        <f t="shared" si="96"/>
        <v>-2.1299101447997573</v>
      </c>
      <c r="I338" s="109">
        <f t="shared" si="97"/>
        <v>-0.36349105544344934</v>
      </c>
      <c r="J338" s="109">
        <f t="shared" si="98"/>
        <v>-0.21825673406922205</v>
      </c>
    </row>
    <row r="339" spans="1:10" x14ac:dyDescent="0.25">
      <c r="A339">
        <v>146</v>
      </c>
      <c r="B339">
        <f t="shared" si="90"/>
        <v>2.5481807079117211</v>
      </c>
      <c r="C339" s="109" t="e">
        <f t="shared" si="91"/>
        <v>#N/A</v>
      </c>
      <c r="D339" s="109" t="e">
        <f t="shared" si="92"/>
        <v>#N/A</v>
      </c>
      <c r="E339" s="109" t="e">
        <f t="shared" si="93"/>
        <v>#N/A</v>
      </c>
      <c r="F339" s="109" t="e">
        <f t="shared" si="94"/>
        <v>#N/A</v>
      </c>
      <c r="G339" s="109">
        <f t="shared" si="95"/>
        <v>-0.44803977249478066</v>
      </c>
      <c r="H339" s="109">
        <f t="shared" si="96"/>
        <v>-2.1204736544895142</v>
      </c>
      <c r="I339" s="109">
        <f t="shared" si="97"/>
        <v>-2.0056968271357941E-2</v>
      </c>
      <c r="J339" s="109">
        <f t="shared" si="98"/>
        <v>-0.2172897554568998</v>
      </c>
    </row>
    <row r="340" spans="1:10" x14ac:dyDescent="0.25">
      <c r="A340">
        <v>147</v>
      </c>
      <c r="B340">
        <f t="shared" si="90"/>
        <v>2.5656340004316647</v>
      </c>
      <c r="C340" s="109" t="e">
        <f t="shared" si="91"/>
        <v>#N/A</v>
      </c>
      <c r="D340" s="109" t="e">
        <f t="shared" si="92"/>
        <v>#N/A</v>
      </c>
      <c r="E340" s="109" t="e">
        <f t="shared" si="93"/>
        <v>#N/A</v>
      </c>
      <c r="F340" s="109" t="e">
        <f t="shared" si="94"/>
        <v>#N/A</v>
      </c>
      <c r="G340" s="109">
        <f t="shared" si="95"/>
        <v>7.4205867489113189</v>
      </c>
      <c r="H340" s="109">
        <f t="shared" si="96"/>
        <v>-2.1099893390107347</v>
      </c>
      <c r="I340" s="109">
        <f t="shared" si="97"/>
        <v>0.33219031459870518</v>
      </c>
      <c r="J340" s="109">
        <f t="shared" si="98"/>
        <v>-0.21621540381773008</v>
      </c>
    </row>
    <row r="341" spans="1:10" x14ac:dyDescent="0.25">
      <c r="A341">
        <v>148</v>
      </c>
      <c r="B341">
        <f t="shared" si="90"/>
        <v>2.5830872929516078</v>
      </c>
      <c r="C341" s="109" t="e">
        <f t="shared" si="91"/>
        <v>#N/A</v>
      </c>
      <c r="D341" s="109" t="e">
        <f t="shared" si="92"/>
        <v>#N/A</v>
      </c>
      <c r="E341" s="109" t="e">
        <f t="shared" si="93"/>
        <v>#N/A</v>
      </c>
      <c r="F341" s="109" t="e">
        <f t="shared" si="94"/>
        <v>#N/A</v>
      </c>
      <c r="G341" s="109">
        <f t="shared" si="95"/>
        <v>15.485112153511068</v>
      </c>
      <c r="H341" s="109">
        <f t="shared" si="96"/>
        <v>-2.0984557220166238</v>
      </c>
      <c r="I341" s="109">
        <f t="shared" si="97"/>
        <v>0.69320721553801068</v>
      </c>
      <c r="J341" s="109">
        <f t="shared" si="98"/>
        <v>-0.21503352786710095</v>
      </c>
    </row>
    <row r="342" spans="1:10" x14ac:dyDescent="0.25">
      <c r="A342">
        <v>149</v>
      </c>
      <c r="B342">
        <f t="shared" si="90"/>
        <v>2.6005405854715509</v>
      </c>
      <c r="C342" s="109" t="e">
        <f t="shared" si="91"/>
        <v>#N/A</v>
      </c>
      <c r="D342" s="109" t="e">
        <f t="shared" si="92"/>
        <v>#N/A</v>
      </c>
      <c r="E342" s="109" t="e">
        <f t="shared" si="93"/>
        <v>#N/A</v>
      </c>
      <c r="F342" s="109" t="e">
        <f t="shared" si="94"/>
        <v>#N/A</v>
      </c>
      <c r="G342" s="109">
        <f t="shared" si="95"/>
        <v>23.744465567082102</v>
      </c>
      <c r="H342" s="109">
        <f t="shared" si="96"/>
        <v>-2.0858717706354875</v>
      </c>
      <c r="I342" s="109">
        <f t="shared" si="97"/>
        <v>1.0629457957437578</v>
      </c>
      <c r="J342" s="109">
        <f t="shared" si="98"/>
        <v>-0.21374402176430196</v>
      </c>
    </row>
    <row r="343" spans="1:10" x14ac:dyDescent="0.25">
      <c r="A343">
        <v>150</v>
      </c>
      <c r="B343">
        <f t="shared" si="90"/>
        <v>2.6179938779914944</v>
      </c>
      <c r="C343" s="109" t="e">
        <f t="shared" si="91"/>
        <v>#N/A</v>
      </c>
      <c r="D343" s="109" t="e">
        <f t="shared" si="92"/>
        <v>#N/A</v>
      </c>
      <c r="E343" s="109" t="e">
        <f t="shared" si="93"/>
        <v>#N/A</v>
      </c>
      <c r="F343" s="109" t="e">
        <f t="shared" si="94"/>
        <v>#N/A</v>
      </c>
      <c r="G343" s="109">
        <f t="shared" si="95"/>
        <v>32.197478598041471</v>
      </c>
      <c r="H343" s="109">
        <f t="shared" si="96"/>
        <v>-2.0722368971701486</v>
      </c>
      <c r="I343" s="109">
        <f t="shared" si="97"/>
        <v>1.4413537509466685</v>
      </c>
      <c r="J343" s="109">
        <f t="shared" si="98"/>
        <v>-0.2123468252866676</v>
      </c>
    </row>
    <row r="344" spans="1:10" x14ac:dyDescent="0.25">
      <c r="A344">
        <v>151</v>
      </c>
      <c r="B344">
        <f t="shared" si="90"/>
        <v>2.6354471705114375</v>
      </c>
      <c r="C344" s="109" t="e">
        <f t="shared" si="91"/>
        <v>#N/A</v>
      </c>
      <c r="D344" s="109" t="e">
        <f t="shared" si="92"/>
        <v>#N/A</v>
      </c>
      <c r="E344" s="109" t="e">
        <f t="shared" si="93"/>
        <v>#N/A</v>
      </c>
      <c r="F344" s="109" t="e">
        <f t="shared" si="94"/>
        <v>#N/A</v>
      </c>
      <c r="G344" s="109">
        <f t="shared" si="95"/>
        <v>40.84288528288846</v>
      </c>
      <c r="H344" s="109">
        <f t="shared" si="96"/>
        <v>-2.0575509606236158</v>
      </c>
      <c r="I344" s="109">
        <f t="shared" si="97"/>
        <v>1.8283744089686791</v>
      </c>
      <c r="J344" s="109">
        <f t="shared" si="98"/>
        <v>-0.21084192398591556</v>
      </c>
    </row>
    <row r="345" spans="1:10" x14ac:dyDescent="0.25">
      <c r="A345">
        <v>152</v>
      </c>
      <c r="B345">
        <f t="shared" si="90"/>
        <v>2.6529004630313806</v>
      </c>
      <c r="C345" s="109" t="e">
        <f t="shared" si="91"/>
        <v>#N/A</v>
      </c>
      <c r="D345" s="109" t="e">
        <f t="shared" si="92"/>
        <v>#N/A</v>
      </c>
      <c r="E345" s="109" t="e">
        <f t="shared" si="93"/>
        <v>#N/A</v>
      </c>
      <c r="F345" s="109" t="e">
        <f t="shared" si="94"/>
        <v>#N/A</v>
      </c>
      <c r="G345" s="109">
        <f t="shared" si="95"/>
        <v>49.679322073127651</v>
      </c>
      <c r="H345" s="109">
        <f t="shared" si="96"/>
        <v>-2.041814268050115</v>
      </c>
      <c r="I345" s="109">
        <f t="shared" si="97"/>
        <v>2.2239467291375368</v>
      </c>
      <c r="J345" s="109">
        <f t="shared" si="98"/>
        <v>-0.20922934932659043</v>
      </c>
    </row>
    <row r="346" spans="1:10" x14ac:dyDescent="0.25">
      <c r="A346">
        <v>153</v>
      </c>
      <c r="B346">
        <f t="shared" si="90"/>
        <v>2.6703537555513241</v>
      </c>
      <c r="C346" s="109" t="e">
        <f t="shared" si="91"/>
        <v>#N/A</v>
      </c>
      <c r="D346" s="109" t="e">
        <f t="shared" si="92"/>
        <v>#N/A</v>
      </c>
      <c r="E346" s="109" t="e">
        <f t="shared" si="93"/>
        <v>#N/A</v>
      </c>
      <c r="F346" s="109" t="e">
        <f t="shared" si="94"/>
        <v>#N/A</v>
      </c>
      <c r="G346" s="109">
        <f t="shared" si="95"/>
        <v>58.705327863784532</v>
      </c>
      <c r="H346" s="109">
        <f t="shared" si="96"/>
        <v>-2.0250275757306948</v>
      </c>
      <c r="I346" s="109">
        <f t="shared" si="97"/>
        <v>2.6280053035633304</v>
      </c>
      <c r="J346" s="109">
        <f t="shared" si="98"/>
        <v>-0.20750917880653028</v>
      </c>
    </row>
    <row r="347" spans="1:10" x14ac:dyDescent="0.25">
      <c r="A347">
        <v>154</v>
      </c>
      <c r="B347">
        <f t="shared" si="90"/>
        <v>2.6878070480712677</v>
      </c>
      <c r="C347" s="109" t="e">
        <f t="shared" si="91"/>
        <v>#N/A</v>
      </c>
      <c r="D347" s="109" t="e">
        <f t="shared" si="92"/>
        <v>#N/A</v>
      </c>
      <c r="E347" s="109" t="e">
        <f t="shared" si="93"/>
        <v>#N/A</v>
      </c>
      <c r="F347" s="109" t="e">
        <f t="shared" si="94"/>
        <v>#N/A</v>
      </c>
      <c r="G347" s="109">
        <f t="shared" si="95"/>
        <v>67.919344063633048</v>
      </c>
      <c r="H347" s="109">
        <f t="shared" si="96"/>
        <v>-2.0071920901726465</v>
      </c>
      <c r="I347" s="109">
        <f t="shared" si="97"/>
        <v>3.0404803602823023</v>
      </c>
      <c r="J347" s="109">
        <f t="shared" si="98"/>
        <v>-0.20568153605927988</v>
      </c>
    </row>
    <row r="348" spans="1:10" x14ac:dyDescent="0.25">
      <c r="A348">
        <v>155</v>
      </c>
      <c r="B348">
        <f t="shared" si="90"/>
        <v>2.7052603405912108</v>
      </c>
      <c r="C348" s="109" t="e">
        <f t="shared" si="91"/>
        <v>#N/A</v>
      </c>
      <c r="D348" s="109" t="e">
        <f t="shared" si="92"/>
        <v>#N/A</v>
      </c>
      <c r="E348" s="109" t="e">
        <f t="shared" si="93"/>
        <v>#N/A</v>
      </c>
      <c r="F348" s="109" t="e">
        <f t="shared" si="94"/>
        <v>#N/A</v>
      </c>
      <c r="G348" s="109">
        <f t="shared" si="95"/>
        <v>77.319714707221692</v>
      </c>
      <c r="H348" s="109">
        <f t="shared" si="96"/>
        <v>-1.988309468932064</v>
      </c>
      <c r="I348" s="109">
        <f t="shared" si="97"/>
        <v>3.4612977682718089</v>
      </c>
      <c r="J348" s="109">
        <f t="shared" si="98"/>
        <v>-0.20374659093837988</v>
      </c>
    </row>
    <row r="349" spans="1:10" x14ac:dyDescent="0.25">
      <c r="A349">
        <v>156</v>
      </c>
      <c r="B349">
        <f t="shared" si="90"/>
        <v>2.7227136331111539</v>
      </c>
      <c r="C349" s="109" t="e">
        <f t="shared" si="91"/>
        <v>#N/A</v>
      </c>
      <c r="D349" s="109" t="e">
        <f t="shared" si="92"/>
        <v>#N/A</v>
      </c>
      <c r="E349" s="109" t="e">
        <f t="shared" si="93"/>
        <v>#N/A</v>
      </c>
      <c r="F349" s="109" t="e">
        <f t="shared" si="94"/>
        <v>#N/A</v>
      </c>
      <c r="G349" s="109">
        <f t="shared" si="95"/>
        <v>86.904686608780708</v>
      </c>
      <c r="H349" s="109">
        <f t="shared" si="96"/>
        <v>-1.9683818212589292</v>
      </c>
      <c r="I349" s="109">
        <f t="shared" si="97"/>
        <v>3.8903790443401429</v>
      </c>
      <c r="J349" s="109">
        <f t="shared" si="98"/>
        <v>-0.20170455958347056</v>
      </c>
    </row>
    <row r="350" spans="1:10" x14ac:dyDescent="0.25">
      <c r="A350">
        <v>157</v>
      </c>
      <c r="B350">
        <f t="shared" si="90"/>
        <v>2.740166925631097</v>
      </c>
      <c r="C350" s="109" t="e">
        <f t="shared" si="91"/>
        <v>#N/A</v>
      </c>
      <c r="D350" s="109" t="e">
        <f t="shared" si="92"/>
        <v>#N/A</v>
      </c>
      <c r="E350" s="109" t="e">
        <f t="shared" si="93"/>
        <v>#N/A</v>
      </c>
      <c r="F350" s="109" t="e">
        <f t="shared" si="94"/>
        <v>#N/A</v>
      </c>
      <c r="G350" s="109">
        <f t="shared" si="95"/>
        <v>96.672409558061645</v>
      </c>
      <c r="H350" s="109">
        <f t="shared" si="96"/>
        <v>-1.947411708564182</v>
      </c>
      <c r="I350" s="109">
        <f t="shared" si="97"/>
        <v>4.327641361893491</v>
      </c>
      <c r="J350" s="109">
        <f t="shared" si="98"/>
        <v>-0.19955570446815332</v>
      </c>
    </row>
    <row r="351" spans="1:10" x14ac:dyDescent="0.25">
      <c r="A351">
        <v>158</v>
      </c>
      <c r="B351">
        <f t="shared" si="90"/>
        <v>2.7576202181510405</v>
      </c>
      <c r="C351" s="109" t="e">
        <f t="shared" si="91"/>
        <v>#N/A</v>
      </c>
      <c r="D351" s="109" t="e">
        <f t="shared" si="92"/>
        <v>#N/A</v>
      </c>
      <c r="E351" s="109" t="e">
        <f t="shared" si="93"/>
        <v>#N/A</v>
      </c>
      <c r="F351" s="109" t="e">
        <f t="shared" si="94"/>
        <v>#N/A</v>
      </c>
      <c r="G351" s="109">
        <f t="shared" si="95"/>
        <v>106.62093655816204</v>
      </c>
      <c r="H351" s="109">
        <f t="shared" si="96"/>
        <v>-1.9254021447082845</v>
      </c>
      <c r="I351" s="109">
        <f t="shared" si="97"/>
        <v>4.7729975615824056</v>
      </c>
      <c r="J351" s="109">
        <f t="shared" si="98"/>
        <v>-0.19730033442956055</v>
      </c>
    </row>
    <row r="352" spans="1:10" x14ac:dyDescent="0.25">
      <c r="A352">
        <v>159</v>
      </c>
      <c r="B352">
        <f t="shared" si="90"/>
        <v>2.7750735106709841</v>
      </c>
      <c r="C352" s="109" t="e">
        <f t="shared" si="91"/>
        <v>#N/A</v>
      </c>
      <c r="D352" s="109" t="e">
        <f t="shared" si="92"/>
        <v>#N/A</v>
      </c>
      <c r="E352" s="109" t="e">
        <f t="shared" si="93"/>
        <v>#N/A</v>
      </c>
      <c r="F352" s="109" t="e">
        <f t="shared" si="94"/>
        <v>#N/A</v>
      </c>
      <c r="G352" s="109">
        <f t="shared" si="95"/>
        <v>116.74822410535262</v>
      </c>
      <c r="H352" s="109">
        <f t="shared" si="96"/>
        <v>-1.9023565961108748</v>
      </c>
      <c r="I352" s="109">
        <f t="shared" si="97"/>
        <v>5.2263561638285623</v>
      </c>
      <c r="J352" s="109">
        <f t="shared" si="98"/>
        <v>-0.1949388046795921</v>
      </c>
    </row>
    <row r="353" spans="1:10" x14ac:dyDescent="0.25">
      <c r="A353">
        <v>160</v>
      </c>
      <c r="B353">
        <f t="shared" ref="B353:B373" si="99">A353*PI()/180</f>
        <v>2.7925268031909272</v>
      </c>
      <c r="C353" s="109" t="e">
        <f t="shared" ref="C353:C373" si="100">IF(Load_Case=1,(0.0796*FA_SUS*D*0.5)-(0.238*FA_SUS*D*0.5*(1-COS(B353)))+(FA_SUS*0.5*D/PI())*(1-COS(B353)-B353*SIN(B353)*0.5),NA())</f>
        <v>#N/A</v>
      </c>
      <c r="D353" s="109" t="e">
        <f t="shared" ref="D353:D373" si="101">IF(Load_Case=1,0.238*FA_SUS*COS(B353)-(FA_SUS/(2*PI()))*B353*SIN(B353),NA())</f>
        <v>#N/A</v>
      </c>
      <c r="E353" s="109" t="e">
        <f t="shared" ref="E353:E373" si="102">0.000001*C353/Z_BareRoark</f>
        <v>#N/A</v>
      </c>
      <c r="F353" s="109" t="e">
        <f t="shared" ref="F353:F373" si="103">D353*1000/(beff_Bare_Roark*Tnet_Bare_Roark)</f>
        <v>#N/A</v>
      </c>
      <c r="G353" s="109">
        <f t="shared" ref="G353:G373" si="104">IF(Load_Case=2,(0.0796*FA_EXP*D*0.5)-(0.238*FA_EXP*D*0.5*(1-COS(B353)))+(FA_EXP*0.5*D/PI())*(1-COS(B353)-B353*SIN(B353)*0.5),NA())</f>
        <v>127.05213251092732</v>
      </c>
      <c r="H353" s="109">
        <f t="shared" ref="H353:H373" si="105">IF(Load_Case=2,0.238*FA_EXP*COS(B353)-(FA_EXP/(2*PI()))*B353*SIN(B353),NA())</f>
        <v>-1.8782789816811616</v>
      </c>
      <c r="I353" s="109">
        <f t="shared" ref="I353:I373" si="106">0.000001*G353/Z_BareRoark</f>
        <v>5.6876213832327114</v>
      </c>
      <c r="J353" s="109">
        <f t="shared" ref="J353:J373" si="107">H353*1000/(beff_Bare_Roark*Tnet_Bare_Roark)</f>
        <v>-0.19247151679778279</v>
      </c>
    </row>
    <row r="354" spans="1:10" x14ac:dyDescent="0.25">
      <c r="A354">
        <v>161</v>
      </c>
      <c r="B354">
        <f t="shared" si="99"/>
        <v>2.8099800957108703</v>
      </c>
      <c r="C354" s="109" t="e">
        <f t="shared" si="100"/>
        <v>#N/A</v>
      </c>
      <c r="D354" s="109" t="e">
        <f t="shared" si="101"/>
        <v>#N/A</v>
      </c>
      <c r="E354" s="109" t="e">
        <f t="shared" si="102"/>
        <v>#N/A</v>
      </c>
      <c r="F354" s="109" t="e">
        <f t="shared" si="103"/>
        <v>#N/A</v>
      </c>
      <c r="G354" s="109">
        <f t="shared" si="104"/>
        <v>137.53042626506056</v>
      </c>
      <c r="H354" s="109">
        <f t="shared" si="105"/>
        <v>-1.853173672568774</v>
      </c>
      <c r="I354" s="109">
        <f t="shared" si="106"/>
        <v>6.1566931448631292</v>
      </c>
      <c r="J354" s="109">
        <f t="shared" si="107"/>
        <v>-0.18989891870577119</v>
      </c>
    </row>
    <row r="355" spans="1:10" x14ac:dyDescent="0.25">
      <c r="A355">
        <v>162</v>
      </c>
      <c r="B355">
        <f t="shared" si="99"/>
        <v>2.8274333882308138</v>
      </c>
      <c r="C355" s="109" t="e">
        <f t="shared" si="100"/>
        <v>#N/A</v>
      </c>
      <c r="D355" s="109" t="e">
        <f t="shared" si="101"/>
        <v>#N/A</v>
      </c>
      <c r="E355" s="109" t="e">
        <f t="shared" si="102"/>
        <v>#N/A</v>
      </c>
      <c r="F355" s="109" t="e">
        <f t="shared" si="103"/>
        <v>#N/A</v>
      </c>
      <c r="G355" s="109">
        <f t="shared" si="104"/>
        <v>148.18077444265487</v>
      </c>
      <c r="H355" s="109">
        <f t="shared" si="105"/>
        <v>-1.8270454917348644</v>
      </c>
      <c r="I355" s="109">
        <f t="shared" si="106"/>
        <v>6.6334671024238112</v>
      </c>
      <c r="J355" s="109">
        <f t="shared" si="107"/>
        <v>-0.18722150462334974</v>
      </c>
    </row>
    <row r="356" spans="1:10" x14ac:dyDescent="0.25">
      <c r="A356">
        <v>163</v>
      </c>
      <c r="B356">
        <f t="shared" si="99"/>
        <v>2.8448866807507569</v>
      </c>
      <c r="C356" s="109" t="e">
        <f t="shared" si="100"/>
        <v>#N/A</v>
      </c>
      <c r="D356" s="109" t="e">
        <f t="shared" si="101"/>
        <v>#N/A</v>
      </c>
      <c r="E356" s="109" t="e">
        <f t="shared" si="102"/>
        <v>#N/A</v>
      </c>
      <c r="F356" s="109" t="e">
        <f t="shared" si="103"/>
        <v>#N/A</v>
      </c>
      <c r="G356" s="109">
        <f t="shared" si="104"/>
        <v>159.00075115113316</v>
      </c>
      <c r="H356" s="109">
        <f t="shared" si="105"/>
        <v>-1.7998997133433197</v>
      </c>
      <c r="I356" s="109">
        <f t="shared" si="106"/>
        <v>7.1178346583003576</v>
      </c>
      <c r="J356" s="109">
        <f t="shared" si="107"/>
        <v>-0.18443981500608075</v>
      </c>
    </row>
    <row r="357" spans="1:10" x14ac:dyDescent="0.25">
      <c r="A357">
        <v>164</v>
      </c>
      <c r="B357">
        <f t="shared" si="99"/>
        <v>2.8623399732707</v>
      </c>
      <c r="C357" s="109" t="e">
        <f t="shared" si="100"/>
        <v>#N/A</v>
      </c>
      <c r="D357" s="109" t="e">
        <f t="shared" si="101"/>
        <v>#N/A</v>
      </c>
      <c r="E357" s="109" t="e">
        <f t="shared" si="102"/>
        <v>#N/A</v>
      </c>
      <c r="F357" s="109" t="e">
        <f t="shared" si="103"/>
        <v>#N/A</v>
      </c>
      <c r="G357" s="109">
        <f t="shared" si="104"/>
        <v>169.98783602012816</v>
      </c>
      <c r="H357" s="109">
        <f t="shared" si="105"/>
        <v>-1.7717420619719872</v>
      </c>
      <c r="I357" s="109">
        <f t="shared" si="106"/>
        <v>7.6096829854814381</v>
      </c>
      <c r="J357" s="109">
        <f t="shared" si="107"/>
        <v>-0.18155443646446881</v>
      </c>
    </row>
    <row r="358" spans="1:10" x14ac:dyDescent="0.25">
      <c r="A358">
        <v>165</v>
      </c>
      <c r="B358">
        <f t="shared" si="99"/>
        <v>2.8797932657906435</v>
      </c>
      <c r="C358" s="109" t="e">
        <f t="shared" si="100"/>
        <v>#N/A</v>
      </c>
      <c r="D358" s="109" t="e">
        <f t="shared" si="101"/>
        <v>#N/A</v>
      </c>
      <c r="E358" s="109" t="e">
        <f t="shared" si="102"/>
        <v>#N/A</v>
      </c>
      <c r="F358" s="109" t="e">
        <f t="shared" si="103"/>
        <v>#N/A</v>
      </c>
      <c r="G358" s="109">
        <f t="shared" si="104"/>
        <v>181.13941473298496</v>
      </c>
      <c r="H358" s="109">
        <f t="shared" si="105"/>
        <v>-1.7425787116439351</v>
      </c>
      <c r="I358" s="109">
        <f t="shared" si="106"/>
        <v>8.1088950513520519</v>
      </c>
      <c r="J358" s="109">
        <f t="shared" si="107"/>
        <v>-0.17856600166469203</v>
      </c>
    </row>
    <row r="359" spans="1:10" x14ac:dyDescent="0.25">
      <c r="A359">
        <v>166</v>
      </c>
      <c r="B359">
        <f t="shared" si="99"/>
        <v>2.8972465583105871</v>
      </c>
      <c r="C359" s="109" t="e">
        <f t="shared" si="100"/>
        <v>#N/A</v>
      </c>
      <c r="D359" s="109" t="e">
        <f t="shared" si="101"/>
        <v>#N/A</v>
      </c>
      <c r="E359" s="109" t="e">
        <f t="shared" si="102"/>
        <v>#N/A</v>
      </c>
      <c r="F359" s="109" t="e">
        <f t="shared" si="103"/>
        <v>#N/A</v>
      </c>
      <c r="G359" s="109">
        <f t="shared" si="104"/>
        <v>192.45277959999396</v>
      </c>
      <c r="H359" s="109">
        <f t="shared" si="105"/>
        <v>-1.7124162846787807</v>
      </c>
      <c r="I359" s="109">
        <f t="shared" si="106"/>
        <v>8.6153496433549055</v>
      </c>
      <c r="J359" s="109">
        <f t="shared" si="107"/>
        <v>-0.17547518921089486</v>
      </c>
    </row>
    <row r="360" spans="1:10" x14ac:dyDescent="0.25">
      <c r="A360">
        <v>167</v>
      </c>
      <c r="B360">
        <f t="shared" si="99"/>
        <v>2.9146998508305306</v>
      </c>
      <c r="C360" s="109" t="e">
        <f t="shared" si="100"/>
        <v>#N/A</v>
      </c>
      <c r="D360" s="109" t="e">
        <f t="shared" si="101"/>
        <v>#N/A</v>
      </c>
      <c r="E360" s="109" t="e">
        <f t="shared" si="102"/>
        <v>#N/A</v>
      </c>
      <c r="F360" s="109" t="e">
        <f t="shared" si="103"/>
        <v>#N/A</v>
      </c>
      <c r="G360" s="109">
        <f t="shared" si="104"/>
        <v>203.92513017324643</v>
      </c>
      <c r="H360" s="109">
        <f t="shared" si="105"/>
        <v>-1.6812618503642274</v>
      </c>
      <c r="I360" s="109">
        <f t="shared" si="106"/>
        <v>9.1289213965150573</v>
      </c>
      <c r="J360" s="109">
        <f t="shared" si="107"/>
        <v>-0.17228272350905757</v>
      </c>
    </row>
    <row r="361" spans="1:10" x14ac:dyDescent="0.25">
      <c r="A361">
        <v>168</v>
      </c>
      <c r="B361">
        <f t="shared" si="99"/>
        <v>2.9321531433504737</v>
      </c>
      <c r="C361" s="109" t="e">
        <f t="shared" si="100"/>
        <v>#N/A</v>
      </c>
      <c r="D361" s="109" t="e">
        <f t="shared" si="101"/>
        <v>#N/A</v>
      </c>
      <c r="E361" s="109" t="e">
        <f t="shared" si="102"/>
        <v>#N/A</v>
      </c>
      <c r="F361" s="109" t="e">
        <f t="shared" si="103"/>
        <v>#N/A</v>
      </c>
      <c r="G361" s="109">
        <f t="shared" si="104"/>
        <v>215.55357390298764</v>
      </c>
      <c r="H361" s="109">
        <f t="shared" si="105"/>
        <v>-1.6491229234480005</v>
      </c>
      <c r="I361" s="109">
        <f t="shared" si="106"/>
        <v>9.6494808228222553</v>
      </c>
      <c r="J361" s="109">
        <f t="shared" si="107"/>
        <v>-0.16898937461246147</v>
      </c>
    </row>
    <row r="362" spans="1:10" x14ac:dyDescent="0.25">
      <c r="A362">
        <v>169</v>
      </c>
      <c r="B362">
        <f t="shared" si="99"/>
        <v>2.9496064358704168</v>
      </c>
      <c r="C362" s="109" t="e">
        <f t="shared" si="100"/>
        <v>#N/A</v>
      </c>
      <c r="D362" s="109" t="e">
        <f t="shared" si="101"/>
        <v>#N/A</v>
      </c>
      <c r="E362" s="109" t="e">
        <f t="shared" si="102"/>
        <v>#N/A</v>
      </c>
      <c r="F362" s="109" t="e">
        <f t="shared" si="103"/>
        <v>#N/A</v>
      </c>
      <c r="G362" s="109">
        <f t="shared" si="104"/>
        <v>227.33512683532865</v>
      </c>
      <c r="H362" s="109">
        <f t="shared" si="105"/>
        <v>-1.6160074624504437</v>
      </c>
      <c r="I362" s="109">
        <f t="shared" si="106"/>
        <v>10.176894342464735</v>
      </c>
      <c r="J362" s="109">
        <f t="shared" si="107"/>
        <v>-0.16559595804877683</v>
      </c>
    </row>
    <row r="363" spans="1:10" x14ac:dyDescent="0.25">
      <c r="A363">
        <v>170</v>
      </c>
      <c r="B363">
        <f t="shared" si="99"/>
        <v>2.9670597283903604</v>
      </c>
      <c r="C363" s="109" t="e">
        <f t="shared" si="100"/>
        <v>#N/A</v>
      </c>
      <c r="D363" s="109" t="e">
        <f t="shared" si="101"/>
        <v>#N/A</v>
      </c>
      <c r="E363" s="109" t="e">
        <f t="shared" si="102"/>
        <v>#N/A</v>
      </c>
      <c r="F363" s="109" t="e">
        <f t="shared" si="103"/>
        <v>#N/A</v>
      </c>
      <c r="G363" s="109">
        <f t="shared" si="104"/>
        <v>239.26671435115964</v>
      </c>
      <c r="H363" s="109">
        <f t="shared" si="105"/>
        <v>-1.5819238677981131</v>
      </c>
      <c r="I363" s="109">
        <f t="shared" si="106"/>
        <v>10.711024316907439</v>
      </c>
      <c r="J363" s="109">
        <f t="shared" si="107"/>
        <v>-0.16210333462880799</v>
      </c>
    </row>
    <row r="364" spans="1:10" x14ac:dyDescent="0.25">
      <c r="A364">
        <v>171</v>
      </c>
      <c r="B364">
        <f t="shared" si="99"/>
        <v>2.9845130209103035</v>
      </c>
      <c r="C364" s="109" t="e">
        <f t="shared" si="100"/>
        <v>#N/A</v>
      </c>
      <c r="D364" s="109" t="e">
        <f t="shared" si="101"/>
        <v>#N/A</v>
      </c>
      <c r="E364" s="109" t="e">
        <f t="shared" si="102"/>
        <v>#N/A</v>
      </c>
      <c r="F364" s="109" t="e">
        <f t="shared" si="103"/>
        <v>#N/A</v>
      </c>
      <c r="G364" s="109">
        <f t="shared" si="104"/>
        <v>251.34517194609089</v>
      </c>
      <c r="H364" s="109">
        <f t="shared" si="105"/>
        <v>-1.5468809797787624</v>
      </c>
      <c r="I364" s="109">
        <f t="shared" si="106"/>
        <v>11.2517290838069</v>
      </c>
      <c r="J364" s="109">
        <f t="shared" si="107"/>
        <v>-0.15851241023693605</v>
      </c>
    </row>
    <row r="365" spans="1:10" x14ac:dyDescent="0.25">
      <c r="A365">
        <v>172</v>
      </c>
      <c r="B365">
        <f t="shared" si="99"/>
        <v>3.0019663134302466</v>
      </c>
      <c r="C365" s="109" t="e">
        <f t="shared" si="100"/>
        <v>#N/A</v>
      </c>
      <c r="D365" s="109" t="e">
        <f t="shared" si="101"/>
        <v>#N/A</v>
      </c>
      <c r="E365" s="109" t="e">
        <f t="shared" si="102"/>
        <v>#N/A</v>
      </c>
      <c r="F365" s="109" t="e">
        <f t="shared" si="103"/>
        <v>#N/A</v>
      </c>
      <c r="G365" s="109">
        <f t="shared" si="104"/>
        <v>263.56724605123441</v>
      </c>
      <c r="H365" s="109">
        <f t="shared" si="105"/>
        <v>-1.5108880763181811</v>
      </c>
      <c r="I365" s="109">
        <f t="shared" si="106"/>
        <v>11.79886299375438</v>
      </c>
      <c r="J365" s="109">
        <f t="shared" si="107"/>
        <v>-0.15482413560330646</v>
      </c>
    </row>
    <row r="366" spans="1:10" x14ac:dyDescent="0.25">
      <c r="A366">
        <v>173</v>
      </c>
      <c r="B366">
        <f t="shared" si="99"/>
        <v>3.0194196059501901</v>
      </c>
      <c r="C366" s="109" t="e">
        <f t="shared" si="100"/>
        <v>#N/A</v>
      </c>
      <c r="D366" s="109" t="e">
        <f t="shared" si="101"/>
        <v>#N/A</v>
      </c>
      <c r="E366" s="109" t="e">
        <f t="shared" si="102"/>
        <v>#N/A</v>
      </c>
      <c r="F366" s="109" t="e">
        <f t="shared" si="103"/>
        <v>#N/A</v>
      </c>
      <c r="G366" s="109">
        <f t="shared" si="104"/>
        <v>275.92959489461612</v>
      </c>
      <c r="H366" s="109">
        <f t="shared" si="105"/>
        <v>-1.4739548705794305</v>
      </c>
      <c r="I366" s="109">
        <f t="shared" si="106"/>
        <v>12.352276448837889</v>
      </c>
      <c r="J366" s="109">
        <f t="shared" si="107"/>
        <v>-0.15103950605781724</v>
      </c>
    </row>
    <row r="367" spans="1:10" x14ac:dyDescent="0.25">
      <c r="A367">
        <v>174</v>
      </c>
      <c r="B367">
        <f t="shared" si="99"/>
        <v>3.0368728984701332</v>
      </c>
      <c r="C367" s="109" t="e">
        <f t="shared" si="100"/>
        <v>#N/A</v>
      </c>
      <c r="D367" s="109" t="e">
        <f t="shared" si="101"/>
        <v>#N/A</v>
      </c>
      <c r="E367" s="109" t="e">
        <f t="shared" si="102"/>
        <v>#N/A</v>
      </c>
      <c r="F367" s="109" t="e">
        <f t="shared" si="103"/>
        <v>#N/A</v>
      </c>
      <c r="G367" s="109">
        <f t="shared" si="104"/>
        <v>288.42878940299772</v>
      </c>
      <c r="H367" s="109">
        <f t="shared" si="105"/>
        <v>-1.4360915083850749</v>
      </c>
      <c r="I367" s="109">
        <f t="shared" si="106"/>
        <v>12.911815943013178</v>
      </c>
      <c r="J367" s="109">
        <f t="shared" si="107"/>
        <v>-0.14715956126596924</v>
      </c>
    </row>
    <row r="368" spans="1:10" x14ac:dyDescent="0.25">
      <c r="A368">
        <v>175</v>
      </c>
      <c r="B368">
        <f t="shared" si="99"/>
        <v>3.0543261909900763</v>
      </c>
      <c r="C368" s="109" t="e">
        <f t="shared" si="100"/>
        <v>#N/A</v>
      </c>
      <c r="D368" s="109" t="e">
        <f t="shared" si="101"/>
        <v>#N/A</v>
      </c>
      <c r="E368" s="109" t="e">
        <f t="shared" si="102"/>
        <v>#N/A</v>
      </c>
      <c r="F368" s="109" t="e">
        <f t="shared" si="103"/>
        <v>#N/A</v>
      </c>
      <c r="G368" s="109">
        <f t="shared" si="104"/>
        <v>301.06131414386778</v>
      </c>
      <c r="H368" s="109">
        <f t="shared" si="105"/>
        <v>-1.3973085654630697</v>
      </c>
      <c r="I368" s="109">
        <f t="shared" si="106"/>
        <v>13.477324104272961</v>
      </c>
      <c r="J368" s="109">
        <f t="shared" si="107"/>
        <v>-0.14318538494664582</v>
      </c>
    </row>
    <row r="369" spans="1:10" x14ac:dyDescent="0.25">
      <c r="A369">
        <v>176</v>
      </c>
      <c r="B369">
        <f t="shared" si="99"/>
        <v>3.0717794835100198</v>
      </c>
      <c r="C369" s="109" t="e">
        <f t="shared" si="100"/>
        <v>#N/A</v>
      </c>
      <c r="D369" s="109" t="e">
        <f t="shared" si="101"/>
        <v>#N/A</v>
      </c>
      <c r="E369" s="109" t="e">
        <f t="shared" si="102"/>
        <v>#N/A</v>
      </c>
      <c r="F369" s="109" t="e">
        <f t="shared" si="103"/>
        <v>#N/A</v>
      </c>
      <c r="G369" s="109">
        <f t="shared" si="104"/>
        <v>313.82356830735</v>
      </c>
      <c r="H369" s="109">
        <f t="shared" si="105"/>
        <v>-1.3576170445170532</v>
      </c>
      <c r="I369" s="109">
        <f t="shared" si="106"/>
        <v>14.048639738603061</v>
      </c>
      <c r="J369" s="109">
        <f t="shared" si="107"/>
        <v>-0.13911810457189924</v>
      </c>
    </row>
    <row r="370" spans="1:10" x14ac:dyDescent="0.25">
      <c r="A370">
        <v>177</v>
      </c>
      <c r="B370">
        <f t="shared" si="99"/>
        <v>3.0892327760299634</v>
      </c>
      <c r="C370" s="109" t="e">
        <f t="shared" si="100"/>
        <v>#N/A</v>
      </c>
      <c r="D370" s="109" t="e">
        <f t="shared" si="101"/>
        <v>#N/A</v>
      </c>
      <c r="E370" s="109" t="e">
        <f t="shared" si="102"/>
        <v>#N/A</v>
      </c>
      <c r="F370" s="109" t="e">
        <f t="shared" si="103"/>
        <v>#N/A</v>
      </c>
      <c r="G370" s="109">
        <f t="shared" si="104"/>
        <v>326.71186672774866</v>
      </c>
      <c r="H370" s="109">
        <f t="shared" si="105"/>
        <v>-1.3170283721218463</v>
      </c>
      <c r="I370" s="109">
        <f t="shared" si="106"/>
        <v>14.625597875712952</v>
      </c>
      <c r="J370" s="109">
        <f t="shared" si="107"/>
        <v>-0.13495889104882533</v>
      </c>
    </row>
    <row r="371" spans="1:10" x14ac:dyDescent="0.25">
      <c r="A371">
        <v>178</v>
      </c>
      <c r="B371">
        <f t="shared" si="99"/>
        <v>3.1066860685499069</v>
      </c>
      <c r="C371" s="109" t="e">
        <f t="shared" si="100"/>
        <v>#N/A</v>
      </c>
      <c r="D371" s="109" t="e">
        <f t="shared" si="101"/>
        <v>#N/A</v>
      </c>
      <c r="E371" s="109" t="e">
        <f t="shared" si="102"/>
        <v>#N/A</v>
      </c>
      <c r="F371" s="109" t="e">
        <f t="shared" si="103"/>
        <v>#N/A</v>
      </c>
      <c r="G371" s="109">
        <f t="shared" si="104"/>
        <v>339.72244094445284</v>
      </c>
      <c r="H371" s="109">
        <f t="shared" si="105"/>
        <v>-1.2755543954450175</v>
      </c>
      <c r="I371" s="109">
        <f t="shared" si="106"/>
        <v>15.208029816528258</v>
      </c>
      <c r="J371" s="109">
        <f t="shared" si="107"/>
        <v>-0.13070895838361482</v>
      </c>
    </row>
    <row r="372" spans="1:10" x14ac:dyDescent="0.25">
      <c r="A372">
        <v>179</v>
      </c>
      <c r="B372">
        <f t="shared" si="99"/>
        <v>3.12413936106985</v>
      </c>
      <c r="C372" s="109" t="e">
        <f t="shared" si="100"/>
        <v>#N/A</v>
      </c>
      <c r="D372" s="109" t="e">
        <f t="shared" si="101"/>
        <v>#N/A</v>
      </c>
      <c r="E372" s="109" t="e">
        <f t="shared" si="102"/>
        <v>#N/A</v>
      </c>
      <c r="F372" s="109" t="e">
        <f t="shared" si="103"/>
        <v>#N/A</v>
      </c>
      <c r="G372" s="109">
        <f t="shared" si="104"/>
        <v>352.8514403018869</v>
      </c>
      <c r="H372" s="109">
        <f t="shared" si="105"/>
        <v>-1.2332073787954632</v>
      </c>
      <c r="I372" s="109">
        <f t="shared" si="106"/>
        <v>15.795763182431173</v>
      </c>
      <c r="J372" s="109">
        <f t="shared" si="107"/>
        <v>-0.12636956332787849</v>
      </c>
    </row>
    <row r="373" spans="1:10" x14ac:dyDescent="0.25">
      <c r="A373">
        <v>180</v>
      </c>
      <c r="B373">
        <f t="shared" si="99"/>
        <v>3.1415926535897931</v>
      </c>
      <c r="C373" s="109" t="e">
        <f t="shared" si="100"/>
        <v>#N/A</v>
      </c>
      <c r="D373" s="109" t="e">
        <f t="shared" si="101"/>
        <v>#N/A</v>
      </c>
      <c r="E373" s="109" t="e">
        <f t="shared" si="102"/>
        <v>#N/A</v>
      </c>
      <c r="F373" s="109" t="e">
        <f t="shared" si="103"/>
        <v>#N/A</v>
      </c>
      <c r="G373" s="109">
        <f t="shared" si="104"/>
        <v>366.09493308819401</v>
      </c>
      <c r="H373" s="109">
        <f t="shared" si="105"/>
        <v>-1.1900000000000002</v>
      </c>
      <c r="I373" s="109">
        <f t="shared" si="106"/>
        <v>16.388621966234822</v>
      </c>
      <c r="J373" s="109">
        <f t="shared" si="107"/>
        <v>-0.12194200500734846</v>
      </c>
    </row>
  </sheetData>
  <mergeCells count="3">
    <mergeCell ref="G5:H5"/>
    <mergeCell ref="C1:C2"/>
    <mergeCell ref="C5:F5"/>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G158" sqref="G158:G160"/>
    </sheetView>
  </sheetViews>
  <sheetFormatPr defaultRowHeight="15" x14ac:dyDescent="0.25"/>
  <sheetData>
    <row r="1" spans="1:8" x14ac:dyDescent="0.25">
      <c r="A1" t="s">
        <v>78</v>
      </c>
      <c r="B1">
        <f>T*(1-0.01*MT)-Corr+TP_Bare_combination</f>
        <v>12.734375</v>
      </c>
    </row>
    <row r="3" spans="1:8" x14ac:dyDescent="0.25">
      <c r="A3" s="152" t="s">
        <v>224</v>
      </c>
      <c r="B3" s="152"/>
      <c r="D3" s="152" t="s">
        <v>225</v>
      </c>
      <c r="E3" s="152"/>
      <c r="G3" s="152" t="s">
        <v>226</v>
      </c>
      <c r="H3" s="152"/>
    </row>
    <row r="4" spans="1:8" x14ac:dyDescent="0.25">
      <c r="A4" t="s">
        <v>222</v>
      </c>
      <c r="B4" t="s">
        <v>223</v>
      </c>
      <c r="D4" t="s">
        <v>222</v>
      </c>
      <c r="E4" t="s">
        <v>223</v>
      </c>
      <c r="G4" t="s">
        <v>222</v>
      </c>
      <c r="H4" t="s">
        <v>223</v>
      </c>
    </row>
    <row r="5" spans="1:8" x14ac:dyDescent="0.25">
      <c r="A5">
        <f>((0.072*FA_SUS*1000*LN(0.5*D/tnet_Bare_combination))/((tnet_Bare_combination*0.001)^2))*0.000001</f>
        <v>7.0491855420969367</v>
      </c>
      <c r="B5">
        <f>0.239*FA_SUS*1000/(tnet_Bare_combination*(D+1.56*SQRT(0.5*D*tnet_Bare_combination)))</f>
        <v>0.13277000403551217</v>
      </c>
      <c r="D5">
        <f>((0.072*FA_EXP*1000*LN(0.5*D/tnet_Bare_combination))/((tnet_Bare_combination*0.001)^2))*0.000001</f>
        <v>7.0491855420969367</v>
      </c>
      <c r="E5">
        <f>0.239*FA_EXP*1000/(tnet_Bare_combination*(D+1.56*SQRT(0.5*D*tnet_Bare_combination)))</f>
        <v>0.13277000403551217</v>
      </c>
      <c r="G5">
        <f>MAX(A5,D5)</f>
        <v>7.0491855420969367</v>
      </c>
      <c r="H5">
        <f>MAX(B5,E5)</f>
        <v>0.13277000403551217</v>
      </c>
    </row>
    <row r="6" spans="1:8" x14ac:dyDescent="0.25">
      <c r="G6">
        <f>G5</f>
        <v>7.0491855420969367</v>
      </c>
      <c r="H6">
        <f>H5</f>
        <v>0.13277000403551217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G158" sqref="G158:G160"/>
    </sheetView>
  </sheetViews>
  <sheetFormatPr defaultRowHeight="15" x14ac:dyDescent="0.25"/>
  <sheetData>
    <row r="1" spans="1:7" x14ac:dyDescent="0.25">
      <c r="A1" t="s">
        <v>174</v>
      </c>
      <c r="B1">
        <v>1.9634</v>
      </c>
    </row>
    <row r="2" spans="1:7" x14ac:dyDescent="0.25">
      <c r="A2" t="s">
        <v>175</v>
      </c>
      <c r="B2">
        <v>1.9634</v>
      </c>
    </row>
    <row r="3" spans="1:7" x14ac:dyDescent="0.25">
      <c r="A3" t="s">
        <v>176</v>
      </c>
      <c r="B3">
        <f>SIN(Bet)/Bet</f>
        <v>0.4705694405399361</v>
      </c>
    </row>
    <row r="4" spans="1:7" x14ac:dyDescent="0.25">
      <c r="A4" t="s">
        <v>173</v>
      </c>
      <c r="B4">
        <f>COS(Phi)+0.5*Phi*SIN(Phi)-1.5*B3+0.5*COS(Bet)</f>
        <v>-0.37273871178116724</v>
      </c>
    </row>
    <row r="5" spans="1:7" x14ac:dyDescent="0.25">
      <c r="A5" t="s">
        <v>177</v>
      </c>
      <c r="B5">
        <f>-0.25*(COS(Phi)-B3)</f>
        <v>0.21329118130223351</v>
      </c>
    </row>
    <row r="6" spans="1:7" x14ac:dyDescent="0.25">
      <c r="A6" t="s">
        <v>179</v>
      </c>
      <c r="B6">
        <f>4-6*(B3)^2+2*(COS(Bet))^2</f>
        <v>2.9641447134814922</v>
      </c>
    </row>
    <row r="7" spans="1:7" x14ac:dyDescent="0.25">
      <c r="A7" t="s">
        <v>180</v>
      </c>
      <c r="B7">
        <f>B3*COS(Bet)+1-2*B3^2</f>
        <v>0.37709115419995515</v>
      </c>
    </row>
    <row r="8" spans="1:7" x14ac:dyDescent="0.25">
      <c r="A8" t="s">
        <v>178</v>
      </c>
      <c r="B8">
        <f>9-(B6/B7)</f>
        <v>1.1394477688815412</v>
      </c>
    </row>
    <row r="9" spans="1:7" x14ac:dyDescent="0.25">
      <c r="A9" t="s">
        <v>181</v>
      </c>
      <c r="B9">
        <f>B4+B5*B8</f>
        <v>-0.12970455112422896</v>
      </c>
    </row>
    <row r="10" spans="1:7" x14ac:dyDescent="0.25">
      <c r="A10" t="s">
        <v>182</v>
      </c>
      <c r="B10" s="97">
        <f>(FA_SUS*D*0.5/PI()*B9)</f>
        <v>-62.920231140550428</v>
      </c>
    </row>
    <row r="11" spans="1:7" x14ac:dyDescent="0.25">
      <c r="D11" s="76" t="s">
        <v>195</v>
      </c>
      <c r="E11" s="76" t="s">
        <v>194</v>
      </c>
      <c r="F11" s="76" t="s">
        <v>195</v>
      </c>
      <c r="G11" s="76" t="s">
        <v>194</v>
      </c>
    </row>
    <row r="12" spans="1:7" x14ac:dyDescent="0.25">
      <c r="A12" t="s">
        <v>190</v>
      </c>
      <c r="B12" t="s">
        <v>175</v>
      </c>
      <c r="C12" t="s">
        <v>191</v>
      </c>
      <c r="D12" s="274" t="s">
        <v>192</v>
      </c>
      <c r="E12" s="274"/>
      <c r="F12" s="274" t="s">
        <v>193</v>
      </c>
      <c r="G12" s="274"/>
    </row>
    <row r="13" spans="1:7" x14ac:dyDescent="0.25">
      <c r="A13">
        <v>55</v>
      </c>
      <c r="B13">
        <f t="shared" ref="B13:B22" si="0">180-0.5*A13</f>
        <v>152.5</v>
      </c>
      <c r="C13" s="93">
        <f t="shared" ref="C13:C22" si="1">B13*PI()/180</f>
        <v>2.6616271092913526</v>
      </c>
      <c r="D13" s="76">
        <v>22.101299999999998</v>
      </c>
      <c r="E13" s="76">
        <f t="shared" ref="E13:E22" si="2">1000000*(D13*6)/(4*D*0.5*tnet_Saddle_Zick^2)</f>
        <v>943.93174061228456</v>
      </c>
      <c r="F13" s="76">
        <v>12.38495</v>
      </c>
      <c r="G13" s="76">
        <f t="shared" ref="G13:G23" si="3">1000000*(F13*6)/(4*D*0.5*tnet_Saddle_Zick^2)</f>
        <v>528.95293086361937</v>
      </c>
    </row>
    <row r="14" spans="1:7" x14ac:dyDescent="0.25">
      <c r="A14">
        <v>60</v>
      </c>
      <c r="B14">
        <f t="shared" si="0"/>
        <v>150</v>
      </c>
      <c r="C14" s="93">
        <f t="shared" si="1"/>
        <v>2.6179938779914944</v>
      </c>
      <c r="D14" s="76">
        <v>20.734500000000001</v>
      </c>
      <c r="E14" s="76">
        <f t="shared" si="2"/>
        <v>885.55662679233421</v>
      </c>
      <c r="F14" s="76">
        <v>8.7401099999999996</v>
      </c>
      <c r="G14" s="76">
        <f t="shared" si="3"/>
        <v>373.2842523038388</v>
      </c>
    </row>
    <row r="15" spans="1:7" x14ac:dyDescent="0.25">
      <c r="A15">
        <v>70</v>
      </c>
      <c r="B15">
        <f t="shared" si="0"/>
        <v>145</v>
      </c>
      <c r="C15" s="93">
        <f t="shared" si="1"/>
        <v>2.5307274153917776</v>
      </c>
      <c r="D15" s="76">
        <v>18.146899999999999</v>
      </c>
      <c r="E15" s="76">
        <f t="shared" si="2"/>
        <v>775.04196150077428</v>
      </c>
      <c r="F15" s="76">
        <v>1.5548</v>
      </c>
      <c r="G15" s="76">
        <f t="shared" si="3"/>
        <v>66.404468076718558</v>
      </c>
    </row>
    <row r="16" spans="1:7" x14ac:dyDescent="0.25">
      <c r="A16">
        <v>75</v>
      </c>
      <c r="B16">
        <f t="shared" si="0"/>
        <v>142.5</v>
      </c>
      <c r="C16" s="93">
        <f t="shared" si="1"/>
        <v>2.4870941840919198</v>
      </c>
      <c r="D16" s="76">
        <v>16.925899999999999</v>
      </c>
      <c r="E16" s="76">
        <f t="shared" si="2"/>
        <v>722.8938681629345</v>
      </c>
      <c r="F16" s="76">
        <v>1.982</v>
      </c>
      <c r="G16" s="76">
        <f t="shared" si="3"/>
        <v>84.649894345289553</v>
      </c>
    </row>
    <row r="17" spans="1:7" x14ac:dyDescent="0.25">
      <c r="A17">
        <v>90</v>
      </c>
      <c r="B17">
        <f t="shared" si="0"/>
        <v>135</v>
      </c>
      <c r="C17" s="93">
        <f t="shared" si="1"/>
        <v>2.3561944901923448</v>
      </c>
      <c r="D17" s="76">
        <v>13.57</v>
      </c>
      <c r="E17" s="76">
        <f t="shared" si="2"/>
        <v>579.56562374650821</v>
      </c>
      <c r="F17" s="76">
        <v>12.36</v>
      </c>
      <c r="G17" s="76">
        <f t="shared" si="3"/>
        <v>527.88733305135156</v>
      </c>
    </row>
    <row r="18" spans="1:7" x14ac:dyDescent="0.25">
      <c r="A18">
        <v>115</v>
      </c>
      <c r="B18">
        <f t="shared" si="0"/>
        <v>122.5</v>
      </c>
      <c r="C18" s="93">
        <f t="shared" si="1"/>
        <v>2.1380283336930535</v>
      </c>
      <c r="D18" s="76">
        <v>8.9542000000000002</v>
      </c>
      <c r="E18" s="76">
        <f t="shared" si="2"/>
        <v>382.42789301038937</v>
      </c>
      <c r="F18" s="76">
        <v>28.86</v>
      </c>
      <c r="G18" s="76">
        <f t="shared" si="3"/>
        <v>1232.5912970762142</v>
      </c>
    </row>
    <row r="19" spans="1:7" x14ac:dyDescent="0.25">
      <c r="A19">
        <v>135</v>
      </c>
      <c r="B19">
        <f t="shared" si="0"/>
        <v>112.5</v>
      </c>
      <c r="C19" s="93">
        <f t="shared" si="1"/>
        <v>1.9634954084936207</v>
      </c>
      <c r="D19" s="76">
        <v>6.0940000000000003</v>
      </c>
      <c r="E19" s="76">
        <f t="shared" si="2"/>
        <v>260.27066404651589</v>
      </c>
      <c r="F19" s="76">
        <v>41.28</v>
      </c>
      <c r="G19" s="76">
        <f t="shared" si="3"/>
        <v>1763.0411899967471</v>
      </c>
    </row>
    <row r="20" spans="1:7" x14ac:dyDescent="0.25">
      <c r="A20">
        <v>140</v>
      </c>
      <c r="B20">
        <f t="shared" si="0"/>
        <v>110</v>
      </c>
      <c r="C20" s="93">
        <f t="shared" si="1"/>
        <v>1.9198621771937625</v>
      </c>
      <c r="D20" s="76">
        <v>5.4873000000000003</v>
      </c>
      <c r="E20" s="76">
        <f t="shared" si="2"/>
        <v>234.35891283597746</v>
      </c>
      <c r="F20" s="76">
        <v>44.27</v>
      </c>
      <c r="G20" s="76">
        <f t="shared" si="3"/>
        <v>1890.7420901442827</v>
      </c>
    </row>
    <row r="21" spans="1:7" x14ac:dyDescent="0.25">
      <c r="A21">
        <v>150</v>
      </c>
      <c r="B21">
        <f t="shared" si="0"/>
        <v>105</v>
      </c>
      <c r="C21" s="93">
        <f t="shared" si="1"/>
        <v>1.8325957145940461</v>
      </c>
      <c r="D21" s="76">
        <v>4.3936000000000002</v>
      </c>
      <c r="E21" s="76">
        <f t="shared" si="2"/>
        <v>187.64771735391736</v>
      </c>
      <c r="F21" s="76">
        <v>50.103000000000002</v>
      </c>
      <c r="G21" s="76">
        <f t="shared" si="3"/>
        <v>2139.8656187598599</v>
      </c>
    </row>
    <row r="22" spans="1:7" x14ac:dyDescent="0.25">
      <c r="A22">
        <v>166</v>
      </c>
      <c r="B22">
        <f t="shared" si="0"/>
        <v>97</v>
      </c>
      <c r="C22" s="93">
        <f t="shared" si="1"/>
        <v>1.6929693744344996</v>
      </c>
      <c r="D22" s="76">
        <v>2.9529999999999998</v>
      </c>
      <c r="E22" s="76">
        <f t="shared" si="2"/>
        <v>126.12065489487388</v>
      </c>
      <c r="F22" s="76">
        <v>59.01</v>
      </c>
      <c r="G22" s="76">
        <f t="shared" si="3"/>
        <v>2520.2776313398267</v>
      </c>
    </row>
    <row r="23" spans="1:7" x14ac:dyDescent="0.25">
      <c r="F23" s="106">
        <v>25.4681</v>
      </c>
      <c r="G23" s="76">
        <f t="shared" si="3"/>
        <v>1087.7255167382789</v>
      </c>
    </row>
  </sheetData>
  <mergeCells count="2">
    <mergeCell ref="D12:E12"/>
    <mergeCell ref="F12:G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opLeftCell="A19" workbookViewId="0">
      <selection activeCell="G158" sqref="G158:G160"/>
    </sheetView>
  </sheetViews>
  <sheetFormatPr defaultRowHeight="15" x14ac:dyDescent="0.25"/>
  <cols>
    <col min="2" max="2" width="11.85546875" customWidth="1"/>
  </cols>
  <sheetData>
    <row r="1" spans="1:13" x14ac:dyDescent="0.25">
      <c r="A1" s="450" t="s">
        <v>137</v>
      </c>
      <c r="B1" s="439"/>
      <c r="C1" s="233" t="s">
        <v>237</v>
      </c>
      <c r="D1" s="234"/>
      <c r="E1" s="233" t="s">
        <v>238</v>
      </c>
      <c r="F1" s="234"/>
      <c r="G1" s="438" t="s">
        <v>239</v>
      </c>
      <c r="H1" s="504"/>
      <c r="I1" s="506" t="s">
        <v>240</v>
      </c>
      <c r="J1" s="234" t="s">
        <v>241</v>
      </c>
      <c r="K1" s="438" t="s">
        <v>242</v>
      </c>
      <c r="L1" s="504"/>
      <c r="M1" s="508"/>
    </row>
    <row r="2" spans="1:13" ht="28.5" customHeight="1" thickBot="1" x14ac:dyDescent="0.3">
      <c r="A2" s="451"/>
      <c r="B2" s="441"/>
      <c r="C2" s="235"/>
      <c r="D2" s="236"/>
      <c r="E2" s="235"/>
      <c r="F2" s="236"/>
      <c r="G2" s="440"/>
      <c r="H2" s="505"/>
      <c r="I2" s="507"/>
      <c r="J2" s="236"/>
      <c r="K2" s="440"/>
      <c r="L2" s="505"/>
      <c r="M2" s="509"/>
    </row>
    <row r="3" spans="1:13" x14ac:dyDescent="0.25">
      <c r="A3" s="516"/>
      <c r="B3" s="517"/>
      <c r="C3" s="489">
        <f>SL_1</f>
        <v>66</v>
      </c>
      <c r="D3" s="490"/>
      <c r="E3" s="489">
        <f>SC_1</f>
        <v>32</v>
      </c>
      <c r="F3" s="490"/>
      <c r="G3" s="492">
        <f>SS_1</f>
        <v>0</v>
      </c>
      <c r="H3" s="493"/>
      <c r="I3" s="496">
        <f>0.5*(SL_1+SC_1)+0.5*SQRT((SL_1-SC_1)^2+4*SS_1^2)</f>
        <v>66</v>
      </c>
      <c r="J3" s="493">
        <f>0.5*(SL_1+SC_1)-0.5*SQRT((SL_1-SC_1)^2+4*SS_1^2)</f>
        <v>32</v>
      </c>
      <c r="K3" s="498">
        <f>SQRT((I3-J3)^2+(I3)^2+(J3)^2)/SQRT(2)</f>
        <v>57.166423711825807</v>
      </c>
      <c r="L3" s="499"/>
      <c r="M3" s="500"/>
    </row>
    <row r="4" spans="1:13" ht="15.75" thickBot="1" x14ac:dyDescent="0.3">
      <c r="A4" s="454"/>
      <c r="B4" s="455"/>
      <c r="C4" s="491"/>
      <c r="D4" s="491"/>
      <c r="E4" s="491"/>
      <c r="F4" s="491"/>
      <c r="G4" s="494"/>
      <c r="H4" s="495"/>
      <c r="I4" s="497"/>
      <c r="J4" s="495"/>
      <c r="K4" s="501"/>
      <c r="L4" s="502"/>
      <c r="M4" s="503"/>
    </row>
    <row r="5" spans="1:13" x14ac:dyDescent="0.25">
      <c r="A5" s="516"/>
      <c r="B5" s="517"/>
      <c r="C5" s="489">
        <f>SL_2</f>
        <v>0</v>
      </c>
      <c r="D5" s="490"/>
      <c r="E5" s="489">
        <f>SC_2</f>
        <v>0.13277000403551217</v>
      </c>
      <c r="F5" s="490"/>
      <c r="G5" s="492">
        <f>SS_2</f>
        <v>0</v>
      </c>
      <c r="H5" s="493"/>
      <c r="I5" s="496">
        <f>0.5*(SL_2+SC_2)+0.5*SQRT((SL_2-SC_2)^2+4*SS_2^2)</f>
        <v>0.13277000403551217</v>
      </c>
      <c r="J5" s="496">
        <f>0.5*(SL_2+SC_2)-0.5*SQRT((SL_2-SC_2)^2+4*SS_2^2)</f>
        <v>0</v>
      </c>
      <c r="K5" s="498">
        <f>SQRT((I5-J5)^2+(I5)^2+(J5)^2)/SQRT(2)</f>
        <v>0.13277000403551217</v>
      </c>
      <c r="L5" s="499"/>
      <c r="M5" s="500"/>
    </row>
    <row r="6" spans="1:13" ht="15.75" thickBot="1" x14ac:dyDescent="0.3">
      <c r="A6" s="454"/>
      <c r="B6" s="455"/>
      <c r="C6" s="491"/>
      <c r="D6" s="491"/>
      <c r="E6" s="491"/>
      <c r="F6" s="491"/>
      <c r="G6" s="494"/>
      <c r="H6" s="495"/>
      <c r="I6" s="497"/>
      <c r="J6" s="497"/>
      <c r="K6" s="501"/>
      <c r="L6" s="502"/>
      <c r="M6" s="503"/>
    </row>
    <row r="7" spans="1:13" x14ac:dyDescent="0.25">
      <c r="A7" s="516"/>
      <c r="B7" s="517"/>
      <c r="C7" s="489">
        <f>SL_3</f>
        <v>66</v>
      </c>
      <c r="D7" s="490"/>
      <c r="E7" s="489">
        <f>SC_3</f>
        <v>39.18195554613245</v>
      </c>
      <c r="F7" s="490"/>
      <c r="G7" s="492">
        <f>SS_3</f>
        <v>0</v>
      </c>
      <c r="H7" s="493"/>
      <c r="I7" s="496">
        <f>0.5*(SL_3+SC_3)+0.5*SQRT((SL_3-SC_3)^2+4*SS_3^2)</f>
        <v>66</v>
      </c>
      <c r="J7" s="496">
        <f>0.5*(SL_3+SC_3)-0.5*SQRT((SL_3-SC_3)^2+4*SS_3^2)</f>
        <v>39.181955546132457</v>
      </c>
      <c r="K7" s="498">
        <f>SQRT((I7-J7)^2+(I7)^2+(J7)^2)/SQRT(2)</f>
        <v>57.491012987895402</v>
      </c>
      <c r="L7" s="499"/>
      <c r="M7" s="500"/>
    </row>
    <row r="8" spans="1:13" ht="15.75" thickBot="1" x14ac:dyDescent="0.3">
      <c r="A8" s="454"/>
      <c r="B8" s="455"/>
      <c r="C8" s="491"/>
      <c r="D8" s="491"/>
      <c r="E8" s="491"/>
      <c r="F8" s="491"/>
      <c r="G8" s="494"/>
      <c r="H8" s="495"/>
      <c r="I8" s="497"/>
      <c r="J8" s="497"/>
      <c r="K8" s="501"/>
      <c r="L8" s="502"/>
      <c r="M8" s="503"/>
    </row>
    <row r="9" spans="1:13" x14ac:dyDescent="0.25">
      <c r="A9" s="516"/>
      <c r="B9" s="517"/>
      <c r="C9" s="489">
        <f>SL_4</f>
        <v>0</v>
      </c>
      <c r="D9" s="490"/>
      <c r="E9" s="489">
        <f>SC_4</f>
        <v>14.363911092264898</v>
      </c>
      <c r="F9" s="490"/>
      <c r="G9" s="492">
        <f>SS_4</f>
        <v>0</v>
      </c>
      <c r="H9" s="493"/>
      <c r="I9" s="496">
        <f>0.5*(SL_4+SC_4)+0.5*SQRT((SL_4-SC_4)^2+4*SS_4^2)</f>
        <v>14.363911092264898</v>
      </c>
      <c r="J9" s="496">
        <f>0.5*(SL_4+SC_4)-0.5*SQRT((SL_4-SC_4)^2+4*SS_4^2)</f>
        <v>0</v>
      </c>
      <c r="K9" s="498">
        <f>SQRT((I9-J9)^2+(I9)^2+(J9)^2)/SQRT(2)</f>
        <v>14.363911092264898</v>
      </c>
      <c r="L9" s="499"/>
      <c r="M9" s="500"/>
    </row>
    <row r="10" spans="1:13" ht="15.75" thickBot="1" x14ac:dyDescent="0.3">
      <c r="A10" s="454"/>
      <c r="B10" s="455"/>
      <c r="C10" s="491"/>
      <c r="D10" s="491"/>
      <c r="E10" s="491"/>
      <c r="F10" s="491"/>
      <c r="G10" s="494"/>
      <c r="H10" s="495"/>
      <c r="I10" s="497"/>
      <c r="J10" s="497"/>
      <c r="K10" s="501"/>
      <c r="L10" s="502"/>
      <c r="M10" s="503"/>
    </row>
    <row r="11" spans="1:13" x14ac:dyDescent="0.25">
      <c r="B11" t="s">
        <v>153</v>
      </c>
      <c r="C11">
        <v>8</v>
      </c>
    </row>
    <row r="12" spans="1:13" x14ac:dyDescent="0.25">
      <c r="B12" t="s">
        <v>18</v>
      </c>
    </row>
    <row r="13" spans="1:13" x14ac:dyDescent="0.25">
      <c r="B13" t="s">
        <v>19</v>
      </c>
    </row>
    <row r="14" spans="1:13" x14ac:dyDescent="0.25">
      <c r="B14" t="s">
        <v>20</v>
      </c>
    </row>
    <row r="15" spans="1:13" x14ac:dyDescent="0.25">
      <c r="B15" t="s">
        <v>154</v>
      </c>
    </row>
    <row r="16" spans="1:13" x14ac:dyDescent="0.25">
      <c r="B16" t="s">
        <v>155</v>
      </c>
    </row>
    <row r="17" spans="1:10" x14ac:dyDescent="0.25">
      <c r="B17" t="s">
        <v>228</v>
      </c>
    </row>
    <row r="18" spans="1:10" ht="15.75" thickBot="1" x14ac:dyDescent="0.3">
      <c r="B18" t="s">
        <v>229</v>
      </c>
    </row>
    <row r="19" spans="1:10" ht="75.75" thickBot="1" x14ac:dyDescent="0.3">
      <c r="A19" s="15"/>
      <c r="B19" s="15"/>
      <c r="C19" s="113" t="s">
        <v>153</v>
      </c>
      <c r="D19" s="119" t="s">
        <v>18</v>
      </c>
      <c r="E19" s="119" t="s">
        <v>19</v>
      </c>
      <c r="F19" s="120" t="s">
        <v>20</v>
      </c>
      <c r="G19" s="119" t="s">
        <v>154</v>
      </c>
      <c r="H19" s="119" t="s">
        <v>171</v>
      </c>
      <c r="I19" s="118" t="s">
        <v>228</v>
      </c>
      <c r="J19" s="118" t="s">
        <v>230</v>
      </c>
    </row>
    <row r="20" spans="1:10" x14ac:dyDescent="0.25">
      <c r="A20" s="510" t="s">
        <v>159</v>
      </c>
      <c r="B20" s="77" t="s">
        <v>157</v>
      </c>
      <c r="C20" s="82">
        <f>Max_SL_TRUNNION_SUS</f>
        <v>10.943732195509202</v>
      </c>
      <c r="D20" s="77">
        <f>Max_SL_STRUCTUREA_SUS</f>
        <v>2560.8087976833685</v>
      </c>
      <c r="E20" s="77">
        <f>Max_SL_STRUCTUREB_SUS</f>
        <v>50.566844297601243</v>
      </c>
      <c r="F20" s="82">
        <f>Max_SL_STRUCTUREC_SUS</f>
        <v>98.611042113329887</v>
      </c>
      <c r="G20" s="77">
        <f>0</f>
        <v>0</v>
      </c>
      <c r="H20" s="82">
        <f>0</f>
        <v>0</v>
      </c>
      <c r="I20" s="77">
        <v>0</v>
      </c>
      <c r="J20" s="78">
        <v>0</v>
      </c>
    </row>
    <row r="21" spans="1:10" x14ac:dyDescent="0.25">
      <c r="A21" s="511"/>
      <c r="B21" s="76" t="s">
        <v>158</v>
      </c>
      <c r="C21" s="81">
        <v>0</v>
      </c>
      <c r="D21" s="76">
        <f>0</f>
        <v>0</v>
      </c>
      <c r="E21" s="76">
        <f>0</f>
        <v>0</v>
      </c>
      <c r="F21" s="81">
        <f>0</f>
        <v>0</v>
      </c>
      <c r="G21" s="76">
        <f>Max_SC_bending_ZICK_SUS</f>
        <v>3.4400675668586933</v>
      </c>
      <c r="H21" s="81">
        <f>0</f>
        <v>0</v>
      </c>
      <c r="I21" s="76">
        <f>Max_SC_bend_BareRoark_SUS</f>
        <v>3.3219920961634712</v>
      </c>
      <c r="J21" s="2">
        <f>Max_SC_bend_BareComb_SUS</f>
        <v>7.0491855420969367</v>
      </c>
    </row>
    <row r="22" spans="1:10" ht="15.75" thickBot="1" x14ac:dyDescent="0.3">
      <c r="A22" s="512"/>
      <c r="B22" s="79" t="s">
        <v>156</v>
      </c>
      <c r="C22" s="83">
        <f>0</f>
        <v>0</v>
      </c>
      <c r="D22" s="79">
        <f>0</f>
        <v>0</v>
      </c>
      <c r="E22" s="79">
        <f>0</f>
        <v>0</v>
      </c>
      <c r="F22" s="83">
        <f>0</f>
        <v>0</v>
      </c>
      <c r="G22" s="85">
        <f>0</f>
        <v>0</v>
      </c>
      <c r="H22" s="83">
        <f>0</f>
        <v>0</v>
      </c>
      <c r="I22" s="79">
        <f>0</f>
        <v>0</v>
      </c>
      <c r="J22" s="3">
        <v>0</v>
      </c>
    </row>
    <row r="23" spans="1:10" x14ac:dyDescent="0.25">
      <c r="A23" s="510" t="s">
        <v>161</v>
      </c>
      <c r="B23" s="77" t="s">
        <v>160</v>
      </c>
      <c r="C23" s="82">
        <f>0</f>
        <v>0</v>
      </c>
      <c r="D23" s="77">
        <f>0</f>
        <v>0</v>
      </c>
      <c r="E23" s="77">
        <f>0</f>
        <v>0</v>
      </c>
      <c r="F23" s="82">
        <f>0</f>
        <v>0</v>
      </c>
      <c r="G23" s="84">
        <f>0</f>
        <v>0</v>
      </c>
      <c r="H23" s="82">
        <f>0</f>
        <v>0</v>
      </c>
      <c r="I23" s="77">
        <v>0</v>
      </c>
      <c r="J23" s="78">
        <v>0</v>
      </c>
    </row>
    <row r="24" spans="1:10" x14ac:dyDescent="0.25">
      <c r="A24" s="511"/>
      <c r="B24" s="76" t="s">
        <v>162</v>
      </c>
      <c r="C24" s="81">
        <f>Max_SC_TRUNNION_SUS</f>
        <v>6.0143758988995035</v>
      </c>
      <c r="D24" s="76">
        <f>Max_SC_STRUCTUREA_SUS</f>
        <v>1407.3504759918001</v>
      </c>
      <c r="E24" s="76">
        <f>Max_SC_STRUCTUREB_SUS</f>
        <v>27.790154601160346</v>
      </c>
      <c r="F24" s="81">
        <f>Max_SC_STRUCTUREC_SUS</f>
        <v>54.193931691342854</v>
      </c>
      <c r="G24" s="76">
        <f>Max_SC_membrane_ZICK_SUS</f>
        <v>8.8998380572585523E-2</v>
      </c>
      <c r="H24" s="81">
        <f>Max_SC_Rork_SUS</f>
        <v>1.3474829560875139</v>
      </c>
      <c r="I24" s="76">
        <f>Max_SC_mem_BareRoark_SUS</f>
        <v>8.4256483892394055E-2</v>
      </c>
      <c r="J24" s="2">
        <f>Max_SC_mem_BareComb_SUS</f>
        <v>0.13277000403551217</v>
      </c>
    </row>
    <row r="25" spans="1:10" ht="15.75" thickBot="1" x14ac:dyDescent="0.3">
      <c r="A25" s="512"/>
      <c r="B25" s="79" t="s">
        <v>163</v>
      </c>
      <c r="C25" s="83">
        <f>0</f>
        <v>0</v>
      </c>
      <c r="D25" s="79">
        <f>0</f>
        <v>0</v>
      </c>
      <c r="E25" s="79">
        <v>0</v>
      </c>
      <c r="F25" s="83">
        <v>0</v>
      </c>
      <c r="G25" s="79">
        <f>0</f>
        <v>0</v>
      </c>
      <c r="H25" s="83">
        <f>0</f>
        <v>0</v>
      </c>
      <c r="I25" s="79">
        <f>0</f>
        <v>0</v>
      </c>
      <c r="J25" s="3">
        <v>0</v>
      </c>
    </row>
    <row r="26" spans="1:10" x14ac:dyDescent="0.25">
      <c r="A26" s="513" t="s">
        <v>164</v>
      </c>
      <c r="B26" s="77" t="s">
        <v>166</v>
      </c>
      <c r="C26" s="82">
        <f>Max_SL_TRUNNION_EXP</f>
        <v>10.943732195509202</v>
      </c>
      <c r="D26" s="84">
        <f>Max_SL_STRUCTUREA_EXP</f>
        <v>2560.8087976833685</v>
      </c>
      <c r="E26" s="84">
        <f>Max_SL_STRUCTUREB_EXP</f>
        <v>50.566844297601243</v>
      </c>
      <c r="F26" s="86">
        <f>Max_SL_STRUCTUREC_EXP</f>
        <v>98.611042113329887</v>
      </c>
      <c r="G26" s="77">
        <f>0</f>
        <v>0</v>
      </c>
      <c r="H26" s="82">
        <f>0</f>
        <v>0</v>
      </c>
      <c r="I26" s="77">
        <v>0</v>
      </c>
      <c r="J26" s="78">
        <v>0</v>
      </c>
    </row>
    <row r="27" spans="1:10" x14ac:dyDescent="0.25">
      <c r="A27" s="514"/>
      <c r="B27" s="76" t="s">
        <v>165</v>
      </c>
      <c r="C27" s="81">
        <f>0</f>
        <v>0</v>
      </c>
      <c r="D27" s="80">
        <f>0</f>
        <v>0</v>
      </c>
      <c r="E27" s="80">
        <v>0</v>
      </c>
      <c r="F27" s="87">
        <f>0</f>
        <v>0</v>
      </c>
      <c r="G27" s="76">
        <f>Max_SC_bending_ZICK_EXP</f>
        <v>3.4400675668586933</v>
      </c>
      <c r="H27" s="81">
        <f>0</f>
        <v>0</v>
      </c>
      <c r="I27" s="76">
        <f>Max_SC_bend_BareRoark_EXP</f>
        <v>3.3219920961634712</v>
      </c>
      <c r="J27" s="2">
        <f>Max_SC_bend_BareComb_exp</f>
        <v>7.0491855420969367</v>
      </c>
    </row>
    <row r="28" spans="1:10" x14ac:dyDescent="0.25">
      <c r="A28" s="514"/>
      <c r="B28" s="76" t="s">
        <v>168</v>
      </c>
      <c r="C28" s="81">
        <f>0</f>
        <v>0</v>
      </c>
      <c r="D28" s="80">
        <f>0</f>
        <v>0</v>
      </c>
      <c r="E28" s="80">
        <v>0</v>
      </c>
      <c r="F28" s="87">
        <f>0</f>
        <v>0</v>
      </c>
      <c r="G28" s="76">
        <f>0</f>
        <v>0</v>
      </c>
      <c r="H28" s="81">
        <f>0</f>
        <v>0</v>
      </c>
      <c r="I28" s="76">
        <v>0</v>
      </c>
      <c r="J28" s="2">
        <v>0</v>
      </c>
    </row>
    <row r="29" spans="1:10" x14ac:dyDescent="0.25">
      <c r="A29" s="514"/>
      <c r="B29" s="76" t="s">
        <v>167</v>
      </c>
      <c r="C29" s="81">
        <f>0</f>
        <v>0</v>
      </c>
      <c r="D29" s="80">
        <f>0</f>
        <v>0</v>
      </c>
      <c r="E29" s="80">
        <v>0</v>
      </c>
      <c r="F29" s="87">
        <f>0</f>
        <v>0</v>
      </c>
      <c r="G29" s="76">
        <f>0</f>
        <v>0</v>
      </c>
      <c r="H29" s="81">
        <f>0</f>
        <v>0</v>
      </c>
      <c r="I29" s="76">
        <v>0</v>
      </c>
      <c r="J29" s="2">
        <v>0</v>
      </c>
    </row>
    <row r="30" spans="1:10" x14ac:dyDescent="0.25">
      <c r="A30" s="514"/>
      <c r="B30" s="76" t="s">
        <v>170</v>
      </c>
      <c r="C30" s="81">
        <f>Max_SC_TRUNNION_EXP</f>
        <v>6.0143758988995035</v>
      </c>
      <c r="D30" s="80">
        <f>Max_SC_STRUCTUREA_EXP</f>
        <v>1407.3504759918001</v>
      </c>
      <c r="E30" s="80">
        <f>Max_SC_STRUCTUREB_EXP</f>
        <v>27.790154601160346</v>
      </c>
      <c r="F30" s="87">
        <f>Max_SC_STRUCTUREC_EXP</f>
        <v>54.193931691342854</v>
      </c>
      <c r="G30" s="76">
        <f>Max_SC_membrane_ZICK_EXP</f>
        <v>8.8998380572585523E-2</v>
      </c>
      <c r="H30" s="81">
        <f>Max_SC_Rork_EXP</f>
        <v>1.3474829560875139</v>
      </c>
      <c r="I30" s="76">
        <f>Max_SC_mem_BareRoark_EXP</f>
        <v>8.4256483892394055E-2</v>
      </c>
      <c r="J30" s="2">
        <f>Max_SC_mem_BareComb_EXP</f>
        <v>0.13277000403551217</v>
      </c>
    </row>
    <row r="31" spans="1:10" ht="15.75" thickBot="1" x14ac:dyDescent="0.3">
      <c r="A31" s="515"/>
      <c r="B31" s="79" t="s">
        <v>169</v>
      </c>
      <c r="C31" s="83">
        <f>0</f>
        <v>0</v>
      </c>
      <c r="D31" s="85">
        <f>0</f>
        <v>0</v>
      </c>
      <c r="E31" s="85"/>
      <c r="F31" s="88"/>
      <c r="G31" s="79">
        <v>0</v>
      </c>
      <c r="H31" s="83">
        <v>0</v>
      </c>
      <c r="I31" s="79">
        <v>0</v>
      </c>
      <c r="J31" s="121">
        <v>0</v>
      </c>
    </row>
    <row r="32" spans="1:10" ht="15.75" thickBot="1" x14ac:dyDescent="0.3">
      <c r="D32" s="1"/>
      <c r="E32" s="1"/>
      <c r="F32" s="1"/>
    </row>
    <row r="33" spans="1:10" ht="75.75" thickBot="1" x14ac:dyDescent="0.3">
      <c r="C33" s="122" t="s">
        <v>153</v>
      </c>
      <c r="D33" s="114" t="s">
        <v>18</v>
      </c>
      <c r="E33" s="114" t="s">
        <v>19</v>
      </c>
      <c r="F33" s="115" t="s">
        <v>20</v>
      </c>
      <c r="G33" s="114" t="s">
        <v>154</v>
      </c>
      <c r="H33" s="114" t="s">
        <v>171</v>
      </c>
      <c r="I33" s="117" t="s">
        <v>228</v>
      </c>
      <c r="J33" s="117" t="s">
        <v>230</v>
      </c>
    </row>
    <row r="34" spans="1:10" x14ac:dyDescent="0.25">
      <c r="A34">
        <f t="shared" ref="A34:A45" si="0">SUM(C34:J34)</f>
        <v>0</v>
      </c>
      <c r="B34" s="77" t="s">
        <v>157</v>
      </c>
      <c r="C34" s="116">
        <f t="shared" ref="C34:C45" si="1">IF(ModelNumber=1,C20,0)</f>
        <v>0</v>
      </c>
      <c r="D34" s="116">
        <f t="shared" ref="D34:D45" si="2">IF(ModelNumber=2,D20,0)</f>
        <v>0</v>
      </c>
      <c r="E34" s="116">
        <f t="shared" ref="E34:E45" si="3">IF(ModelNumber=3,E20,0)</f>
        <v>0</v>
      </c>
      <c r="F34" s="116">
        <f t="shared" ref="F34:F45" si="4">IF(ModelNumber=4,F20,0)</f>
        <v>0</v>
      </c>
      <c r="G34" s="116">
        <f t="shared" ref="G34:G45" si="5">IF(ModelNumber=5,G20,0)</f>
        <v>0</v>
      </c>
      <c r="H34" s="116">
        <f t="shared" ref="H34:H45" si="6">IF(ModelNumber=6,H20,0)</f>
        <v>0</v>
      </c>
      <c r="I34" s="116">
        <f t="shared" ref="I34:I45" si="7">IF(ModelNumber=7,I20,0)</f>
        <v>0</v>
      </c>
      <c r="J34" s="116">
        <f t="shared" ref="J34:J45" si="8">IF(ModelNumber=8,J20,0)</f>
        <v>0</v>
      </c>
    </row>
    <row r="35" spans="1:10" x14ac:dyDescent="0.25">
      <c r="A35">
        <f t="shared" si="0"/>
        <v>7.0491855420969367</v>
      </c>
      <c r="B35" s="76" t="s">
        <v>158</v>
      </c>
      <c r="C35" s="76">
        <f t="shared" si="1"/>
        <v>0</v>
      </c>
      <c r="D35" s="76">
        <f t="shared" si="2"/>
        <v>0</v>
      </c>
      <c r="E35" s="76">
        <f t="shared" si="3"/>
        <v>0</v>
      </c>
      <c r="F35" s="76">
        <f t="shared" si="4"/>
        <v>0</v>
      </c>
      <c r="G35" s="76">
        <f t="shared" si="5"/>
        <v>0</v>
      </c>
      <c r="H35" s="76">
        <f t="shared" si="6"/>
        <v>0</v>
      </c>
      <c r="I35" s="116">
        <f t="shared" si="7"/>
        <v>0</v>
      </c>
      <c r="J35" s="116">
        <f t="shared" si="8"/>
        <v>7.0491855420969367</v>
      </c>
    </row>
    <row r="36" spans="1:10" ht="15.75" thickBot="1" x14ac:dyDescent="0.3">
      <c r="A36">
        <f t="shared" si="0"/>
        <v>0</v>
      </c>
      <c r="B36" s="79" t="s">
        <v>156</v>
      </c>
      <c r="C36" s="76">
        <f t="shared" si="1"/>
        <v>0</v>
      </c>
      <c r="D36" s="76">
        <f t="shared" si="2"/>
        <v>0</v>
      </c>
      <c r="E36" s="76">
        <f t="shared" si="3"/>
        <v>0</v>
      </c>
      <c r="F36" s="76">
        <f t="shared" si="4"/>
        <v>0</v>
      </c>
      <c r="G36" s="76">
        <f t="shared" si="5"/>
        <v>0</v>
      </c>
      <c r="H36" s="76">
        <f t="shared" si="6"/>
        <v>0</v>
      </c>
      <c r="I36" s="116">
        <f t="shared" si="7"/>
        <v>0</v>
      </c>
      <c r="J36" s="116">
        <f t="shared" si="8"/>
        <v>0</v>
      </c>
    </row>
    <row r="37" spans="1:10" x14ac:dyDescent="0.25">
      <c r="A37">
        <f t="shared" si="0"/>
        <v>0</v>
      </c>
      <c r="B37" s="77" t="s">
        <v>160</v>
      </c>
      <c r="C37" s="76">
        <f t="shared" si="1"/>
        <v>0</v>
      </c>
      <c r="D37" s="76">
        <f t="shared" si="2"/>
        <v>0</v>
      </c>
      <c r="E37" s="76">
        <f t="shared" si="3"/>
        <v>0</v>
      </c>
      <c r="F37" s="76">
        <f t="shared" si="4"/>
        <v>0</v>
      </c>
      <c r="G37" s="76">
        <f t="shared" si="5"/>
        <v>0</v>
      </c>
      <c r="H37" s="76">
        <f t="shared" si="6"/>
        <v>0</v>
      </c>
      <c r="I37" s="116">
        <f t="shared" si="7"/>
        <v>0</v>
      </c>
      <c r="J37" s="116">
        <f t="shared" si="8"/>
        <v>0</v>
      </c>
    </row>
    <row r="38" spans="1:10" x14ac:dyDescent="0.25">
      <c r="A38">
        <f t="shared" si="0"/>
        <v>0.13277000403551217</v>
      </c>
      <c r="B38" s="76" t="s">
        <v>162</v>
      </c>
      <c r="C38" s="76">
        <f t="shared" si="1"/>
        <v>0</v>
      </c>
      <c r="D38" s="76">
        <f t="shared" si="2"/>
        <v>0</v>
      </c>
      <c r="E38" s="76">
        <f t="shared" si="3"/>
        <v>0</v>
      </c>
      <c r="F38" s="76">
        <f t="shared" si="4"/>
        <v>0</v>
      </c>
      <c r="G38" s="76">
        <f t="shared" si="5"/>
        <v>0</v>
      </c>
      <c r="H38" s="76">
        <f t="shared" si="6"/>
        <v>0</v>
      </c>
      <c r="I38" s="116">
        <f t="shared" si="7"/>
        <v>0</v>
      </c>
      <c r="J38" s="116">
        <f t="shared" si="8"/>
        <v>0.13277000403551217</v>
      </c>
    </row>
    <row r="39" spans="1:10" ht="15.75" thickBot="1" x14ac:dyDescent="0.3">
      <c r="A39">
        <f t="shared" si="0"/>
        <v>0</v>
      </c>
      <c r="B39" s="79" t="s">
        <v>163</v>
      </c>
      <c r="C39" s="76">
        <f t="shared" si="1"/>
        <v>0</v>
      </c>
      <c r="D39" s="76">
        <f t="shared" si="2"/>
        <v>0</v>
      </c>
      <c r="E39" s="76">
        <f t="shared" si="3"/>
        <v>0</v>
      </c>
      <c r="F39" s="76">
        <f t="shared" si="4"/>
        <v>0</v>
      </c>
      <c r="G39" s="76">
        <f t="shared" si="5"/>
        <v>0</v>
      </c>
      <c r="H39" s="76">
        <f t="shared" si="6"/>
        <v>0</v>
      </c>
      <c r="I39" s="116">
        <f t="shared" si="7"/>
        <v>0</v>
      </c>
      <c r="J39" s="116">
        <f t="shared" si="8"/>
        <v>0</v>
      </c>
    </row>
    <row r="40" spans="1:10" x14ac:dyDescent="0.25">
      <c r="A40">
        <f t="shared" si="0"/>
        <v>0</v>
      </c>
      <c r="B40" s="77" t="s">
        <v>166</v>
      </c>
      <c r="C40" s="76">
        <f t="shared" si="1"/>
        <v>0</v>
      </c>
      <c r="D40" s="76">
        <f t="shared" si="2"/>
        <v>0</v>
      </c>
      <c r="E40" s="76">
        <f t="shared" si="3"/>
        <v>0</v>
      </c>
      <c r="F40" s="76">
        <f t="shared" si="4"/>
        <v>0</v>
      </c>
      <c r="G40" s="76">
        <f t="shared" si="5"/>
        <v>0</v>
      </c>
      <c r="H40" s="76">
        <f t="shared" si="6"/>
        <v>0</v>
      </c>
      <c r="I40" s="116">
        <f t="shared" si="7"/>
        <v>0</v>
      </c>
      <c r="J40" s="116">
        <f t="shared" si="8"/>
        <v>0</v>
      </c>
    </row>
    <row r="41" spans="1:10" x14ac:dyDescent="0.25">
      <c r="A41">
        <f t="shared" si="0"/>
        <v>7.0491855420969367</v>
      </c>
      <c r="B41" s="76" t="s">
        <v>165</v>
      </c>
      <c r="C41" s="76">
        <f t="shared" si="1"/>
        <v>0</v>
      </c>
      <c r="D41" s="76">
        <f t="shared" si="2"/>
        <v>0</v>
      </c>
      <c r="E41" s="76">
        <f t="shared" si="3"/>
        <v>0</v>
      </c>
      <c r="F41" s="76">
        <f t="shared" si="4"/>
        <v>0</v>
      </c>
      <c r="G41" s="76">
        <f t="shared" si="5"/>
        <v>0</v>
      </c>
      <c r="H41" s="76">
        <f t="shared" si="6"/>
        <v>0</v>
      </c>
      <c r="I41" s="116">
        <f t="shared" si="7"/>
        <v>0</v>
      </c>
      <c r="J41" s="116">
        <f t="shared" si="8"/>
        <v>7.0491855420969367</v>
      </c>
    </row>
    <row r="42" spans="1:10" x14ac:dyDescent="0.25">
      <c r="A42">
        <f t="shared" si="0"/>
        <v>0</v>
      </c>
      <c r="B42" s="76" t="s">
        <v>168</v>
      </c>
      <c r="C42" s="76">
        <f t="shared" si="1"/>
        <v>0</v>
      </c>
      <c r="D42" s="76">
        <f t="shared" si="2"/>
        <v>0</v>
      </c>
      <c r="E42" s="76">
        <f t="shared" si="3"/>
        <v>0</v>
      </c>
      <c r="F42" s="76">
        <f t="shared" si="4"/>
        <v>0</v>
      </c>
      <c r="G42" s="76">
        <f t="shared" si="5"/>
        <v>0</v>
      </c>
      <c r="H42" s="76">
        <f t="shared" si="6"/>
        <v>0</v>
      </c>
      <c r="I42" s="116">
        <f t="shared" si="7"/>
        <v>0</v>
      </c>
      <c r="J42" s="116">
        <f t="shared" si="8"/>
        <v>0</v>
      </c>
    </row>
    <row r="43" spans="1:10" x14ac:dyDescent="0.25">
      <c r="A43">
        <f t="shared" si="0"/>
        <v>0</v>
      </c>
      <c r="B43" s="76" t="s">
        <v>167</v>
      </c>
      <c r="C43" s="76">
        <f t="shared" si="1"/>
        <v>0</v>
      </c>
      <c r="D43" s="76">
        <f t="shared" si="2"/>
        <v>0</v>
      </c>
      <c r="E43" s="76">
        <f t="shared" si="3"/>
        <v>0</v>
      </c>
      <c r="F43" s="76">
        <f t="shared" si="4"/>
        <v>0</v>
      </c>
      <c r="G43" s="76">
        <f t="shared" si="5"/>
        <v>0</v>
      </c>
      <c r="H43" s="76">
        <f t="shared" si="6"/>
        <v>0</v>
      </c>
      <c r="I43" s="116">
        <f t="shared" si="7"/>
        <v>0</v>
      </c>
      <c r="J43" s="116">
        <f t="shared" si="8"/>
        <v>0</v>
      </c>
    </row>
    <row r="44" spans="1:10" x14ac:dyDescent="0.25">
      <c r="A44">
        <f t="shared" si="0"/>
        <v>0.13277000403551217</v>
      </c>
      <c r="B44" s="76" t="s">
        <v>170</v>
      </c>
      <c r="C44" s="76">
        <f t="shared" si="1"/>
        <v>0</v>
      </c>
      <c r="D44" s="76">
        <f t="shared" si="2"/>
        <v>0</v>
      </c>
      <c r="E44" s="76">
        <f t="shared" si="3"/>
        <v>0</v>
      </c>
      <c r="F44" s="76">
        <f t="shared" si="4"/>
        <v>0</v>
      </c>
      <c r="G44" s="76">
        <f t="shared" si="5"/>
        <v>0</v>
      </c>
      <c r="H44" s="76">
        <f t="shared" si="6"/>
        <v>0</v>
      </c>
      <c r="I44" s="116">
        <f t="shared" si="7"/>
        <v>0</v>
      </c>
      <c r="J44" s="116">
        <f t="shared" si="8"/>
        <v>0.13277000403551217</v>
      </c>
    </row>
    <row r="45" spans="1:10" ht="15.75" thickBot="1" x14ac:dyDescent="0.3">
      <c r="A45">
        <f t="shared" si="0"/>
        <v>0</v>
      </c>
      <c r="B45" s="79" t="s">
        <v>169</v>
      </c>
      <c r="C45" s="76">
        <f t="shared" si="1"/>
        <v>0</v>
      </c>
      <c r="D45" s="76">
        <f t="shared" si="2"/>
        <v>0</v>
      </c>
      <c r="E45" s="76">
        <f t="shared" si="3"/>
        <v>0</v>
      </c>
      <c r="F45" s="76">
        <f t="shared" si="4"/>
        <v>0</v>
      </c>
      <c r="G45" s="76">
        <f t="shared" si="5"/>
        <v>0</v>
      </c>
      <c r="H45" s="76">
        <f t="shared" si="6"/>
        <v>0</v>
      </c>
      <c r="I45" s="116">
        <f t="shared" si="7"/>
        <v>0</v>
      </c>
      <c r="J45" s="116">
        <f t="shared" si="8"/>
        <v>0</v>
      </c>
    </row>
  </sheetData>
  <mergeCells count="38">
    <mergeCell ref="A20:A22"/>
    <mergeCell ref="A23:A25"/>
    <mergeCell ref="A26:A31"/>
    <mergeCell ref="A1:B2"/>
    <mergeCell ref="C1:D2"/>
    <mergeCell ref="A3:B4"/>
    <mergeCell ref="C3:D4"/>
    <mergeCell ref="A5:B6"/>
    <mergeCell ref="C5:D6"/>
    <mergeCell ref="A7:B8"/>
    <mergeCell ref="C7:D8"/>
    <mergeCell ref="A9:B10"/>
    <mergeCell ref="C9:D10"/>
    <mergeCell ref="E1:F2"/>
    <mergeCell ref="G1:H2"/>
    <mergeCell ref="I1:I2"/>
    <mergeCell ref="J1:J2"/>
    <mergeCell ref="K1:M2"/>
    <mergeCell ref="E3:F4"/>
    <mergeCell ref="G3:H4"/>
    <mergeCell ref="I3:I4"/>
    <mergeCell ref="J3:J4"/>
    <mergeCell ref="K3:M4"/>
    <mergeCell ref="E5:F6"/>
    <mergeCell ref="G5:H6"/>
    <mergeCell ref="I5:I6"/>
    <mergeCell ref="J5:J6"/>
    <mergeCell ref="K5:M6"/>
    <mergeCell ref="E7:F8"/>
    <mergeCell ref="G7:H8"/>
    <mergeCell ref="I7:I8"/>
    <mergeCell ref="J7:J8"/>
    <mergeCell ref="K7:M8"/>
    <mergeCell ref="E9:F10"/>
    <mergeCell ref="G9:H10"/>
    <mergeCell ref="I9:I10"/>
    <mergeCell ref="J9:J10"/>
    <mergeCell ref="K9:M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25" workbookViewId="0">
      <selection activeCell="G158" sqref="G158:G160"/>
    </sheetView>
  </sheetViews>
  <sheetFormatPr defaultRowHeight="15" x14ac:dyDescent="0.25"/>
  <sheetData>
    <row r="1" spans="1:6" x14ac:dyDescent="0.25">
      <c r="A1" s="518" t="s">
        <v>54</v>
      </c>
      <c r="B1" s="519"/>
      <c r="C1" s="520"/>
      <c r="D1" s="518" t="s">
        <v>55</v>
      </c>
      <c r="E1" s="519"/>
      <c r="F1" s="520"/>
    </row>
    <row r="2" spans="1:6" ht="18" x14ac:dyDescent="0.35">
      <c r="A2" s="6" t="s">
        <v>41</v>
      </c>
      <c r="B2" s="4">
        <f>FA_SUS*1000/(2*3.14*d_Trunion*0.001*0.5)</f>
        <v>4477.9434417831526</v>
      </c>
      <c r="C2" s="2" t="s">
        <v>46</v>
      </c>
      <c r="D2" s="6" t="s">
        <v>41</v>
      </c>
      <c r="E2" s="4">
        <f>FA_EXP*1000/(2*3.14*d_Trunion*0.001*0.5)</f>
        <v>4477.9434417831526</v>
      </c>
      <c r="F2" s="2" t="s">
        <v>46</v>
      </c>
    </row>
    <row r="3" spans="1:6" x14ac:dyDescent="0.25">
      <c r="A3" s="6" t="s">
        <v>38</v>
      </c>
      <c r="B3" s="4">
        <f>(FL_SUS*H_Trunnion)/(3.14*((d_Trunion*0.5)*0.001)^2)</f>
        <v>14103.75887175796</v>
      </c>
      <c r="C3" s="2" t="s">
        <v>46</v>
      </c>
      <c r="D3" s="6" t="s">
        <v>38</v>
      </c>
      <c r="E3" s="4">
        <f>(FL_EXP*H_Trunnion)/(3.14*((d_Trunion*0.5)*0.001)^2)</f>
        <v>14103.75887175796</v>
      </c>
      <c r="F3" s="2" t="s">
        <v>46</v>
      </c>
    </row>
    <row r="4" spans="1:6" x14ac:dyDescent="0.25">
      <c r="A4" s="6" t="s">
        <v>39</v>
      </c>
      <c r="B4" s="4">
        <f>(FC_SUS*H_Trunnion)/(3.14*((d_Trunion*0.5)*0.001)^2)</f>
        <v>7051.8794358789801</v>
      </c>
      <c r="C4" s="2" t="s">
        <v>46</v>
      </c>
      <c r="D4" s="6" t="s">
        <v>39</v>
      </c>
      <c r="E4" s="4">
        <f>(FC_EXP*H_Trunnion)/(3.14*((d_Trunion*0.5)*0.001)^2)</f>
        <v>7051.8794358789801</v>
      </c>
      <c r="F4" s="2" t="s">
        <v>46</v>
      </c>
    </row>
    <row r="5" spans="1:6" x14ac:dyDescent="0.25">
      <c r="A5" s="6" t="s">
        <v>40</v>
      </c>
      <c r="B5" s="4">
        <f>1.5*B2+SQRT(B3^2+(B4*1.5)^2)</f>
        <v>24346.613752372177</v>
      </c>
      <c r="C5" s="2" t="s">
        <v>46</v>
      </c>
      <c r="D5" s="6" t="s">
        <v>40</v>
      </c>
      <c r="E5" s="4">
        <f>1.5*E2+SQRT(E3^2+(E4*1.5)^2)</f>
        <v>24346.613752372177</v>
      </c>
      <c r="F5" s="2" t="s">
        <v>46</v>
      </c>
    </row>
    <row r="6" spans="1:6" ht="18" x14ac:dyDescent="0.35">
      <c r="A6" s="6" t="s">
        <v>42</v>
      </c>
      <c r="B6" s="4">
        <f>((MainPage!E5*(1-0.01*MT)-Corr))+TP_Trunnion</f>
        <v>12.734375</v>
      </c>
      <c r="C6" s="2" t="s">
        <v>43</v>
      </c>
      <c r="D6" s="6" t="s">
        <v>42</v>
      </c>
      <c r="E6" s="4">
        <f>((MainPage!E5*(1-0.01*MT)-Corr))+TP_Trunnion</f>
        <v>12.734375</v>
      </c>
      <c r="F6" s="2" t="s">
        <v>43</v>
      </c>
    </row>
    <row r="7" spans="1:6" x14ac:dyDescent="0.25">
      <c r="A7" s="6" t="s">
        <v>44</v>
      </c>
      <c r="B7" s="5">
        <f>(1.17*B5*SQRT(0.5*D*0.001))*0.000001/((tnet_TRUNNION*0.001)^1.5)</f>
        <v>10.943732195509202</v>
      </c>
      <c r="C7" s="2" t="s">
        <v>45</v>
      </c>
      <c r="D7" s="6" t="s">
        <v>44</v>
      </c>
      <c r="E7" s="5">
        <f>(1.17*E5*SQRT(0.5*MainPage!E4*0.001))*0.000001/((E6*0.001)^1.5)</f>
        <v>10.943732195509202</v>
      </c>
      <c r="F7" s="2" t="s">
        <v>45</v>
      </c>
    </row>
    <row r="8" spans="1:6" ht="15.75" thickBot="1" x14ac:dyDescent="0.3">
      <c r="A8" s="7" t="s">
        <v>47</v>
      </c>
      <c r="B8" s="8">
        <f>(0.643*B5*SQRT((D*0.5)*0.001))*0.000001/((tnet_TRUNNION*0.001)^1.5)</f>
        <v>6.0143758988995035</v>
      </c>
      <c r="C8" s="3" t="s">
        <v>45</v>
      </c>
      <c r="D8" s="7" t="s">
        <v>47</v>
      </c>
      <c r="E8" s="8">
        <f>(0.643*E5*SQRT((MainPage!E4*0.5)*0.001))*0.000001/((E6*0.001)^1.5)</f>
        <v>6.0143758988995035</v>
      </c>
      <c r="F8" s="3" t="s">
        <v>45</v>
      </c>
    </row>
    <row r="9" spans="1:6" x14ac:dyDescent="0.25">
      <c r="A9" s="521" t="s">
        <v>56</v>
      </c>
      <c r="B9" s="522"/>
      <c r="C9" s="523"/>
      <c r="D9" s="521" t="s">
        <v>57</v>
      </c>
      <c r="E9" s="522"/>
      <c r="F9" s="523"/>
    </row>
    <row r="10" spans="1:6" x14ac:dyDescent="0.25">
      <c r="A10" s="9" t="s">
        <v>38</v>
      </c>
      <c r="B10" s="4">
        <f>(6*FL_SUS*H_Trunnion)/(L_STRA*0.001)^2</f>
        <v>190476.1904761905</v>
      </c>
      <c r="C10" s="10" t="s">
        <v>46</v>
      </c>
      <c r="D10" s="9" t="s">
        <v>38</v>
      </c>
      <c r="E10" s="4">
        <f>(6*FL_EXP*H_Trunnion)/(L_STRA*0.001)^2</f>
        <v>190476.1904761905</v>
      </c>
      <c r="F10" s="10" t="s">
        <v>46</v>
      </c>
    </row>
    <row r="11" spans="1:6" x14ac:dyDescent="0.25">
      <c r="A11" s="9" t="s">
        <v>48</v>
      </c>
      <c r="B11" s="4">
        <f>(6*FC_SUS*H_STRA)/(L_STRA*t_STRA*0.000001)</f>
        <v>3333333.333333334</v>
      </c>
      <c r="C11" s="10" t="s">
        <v>46</v>
      </c>
      <c r="D11" s="9" t="s">
        <v>48</v>
      </c>
      <c r="E11" s="4">
        <f>(6*FC_EXP*H_STRA)/(L_STRA*t_STRA*0.000001)</f>
        <v>3333333.333333334</v>
      </c>
      <c r="F11" s="10" t="s">
        <v>46</v>
      </c>
    </row>
    <row r="12" spans="1:6" x14ac:dyDescent="0.25">
      <c r="A12" s="9" t="s">
        <v>49</v>
      </c>
      <c r="B12" s="4">
        <f>FA_SUS*1000/(L_STRA*0.001)</f>
        <v>23809.523809523809</v>
      </c>
      <c r="C12" s="2" t="s">
        <v>46</v>
      </c>
      <c r="D12" s="9" t="s">
        <v>49</v>
      </c>
      <c r="E12" s="4">
        <f>FA_EXP*1000/(L_STRA*0.001)</f>
        <v>23809.523809523809</v>
      </c>
      <c r="F12" s="2" t="s">
        <v>46</v>
      </c>
    </row>
    <row r="13" spans="1:6" x14ac:dyDescent="0.25">
      <c r="A13" s="9" t="s">
        <v>40</v>
      </c>
      <c r="B13" s="4">
        <f>1.5*B12+SQRT((B10^2+(1.5*B11)^2))</f>
        <v>5039341.088258449</v>
      </c>
      <c r="C13" s="10" t="s">
        <v>46</v>
      </c>
      <c r="D13" s="9" t="s">
        <v>40</v>
      </c>
      <c r="E13" s="4">
        <f>1.5*E12+SQRT((E10^2+(1.5*E11)^2))</f>
        <v>5039341.088258449</v>
      </c>
      <c r="F13" s="10" t="s">
        <v>46</v>
      </c>
    </row>
    <row r="14" spans="1:6" ht="18" x14ac:dyDescent="0.35">
      <c r="A14" s="6" t="s">
        <v>42</v>
      </c>
      <c r="B14" s="4">
        <f>((T*(1-0.01*MT)-Corr))+TP_STRA</f>
        <v>11.734375</v>
      </c>
      <c r="C14" s="2" t="s">
        <v>43</v>
      </c>
      <c r="D14" s="6" t="s">
        <v>42</v>
      </c>
      <c r="E14" s="4">
        <f>((T*(1-0.01*MT)-Corr))+TP_STRA</f>
        <v>11.734375</v>
      </c>
      <c r="F14" s="2" t="s">
        <v>43</v>
      </c>
    </row>
    <row r="15" spans="1:6" x14ac:dyDescent="0.25">
      <c r="A15" s="6" t="s">
        <v>44</v>
      </c>
      <c r="B15" s="5">
        <f>(1.17*B13*SQRT(0.5*D*0.001))*0.000001/((tnet_STRA*0.001)^1.5)</f>
        <v>2560.8087976833685</v>
      </c>
      <c r="C15" s="2" t="s">
        <v>45</v>
      </c>
      <c r="D15" s="6" t="s">
        <v>44</v>
      </c>
      <c r="E15" s="5">
        <f>(1.17*E13*SQRT(0.5*D*0.001))*0.000001/((tnet_STRA*0.001)^1.5)</f>
        <v>2560.8087976833685</v>
      </c>
      <c r="F15" s="2" t="s">
        <v>45</v>
      </c>
    </row>
    <row r="16" spans="1:6" ht="15.75" thickBot="1" x14ac:dyDescent="0.3">
      <c r="A16" s="7" t="s">
        <v>47</v>
      </c>
      <c r="B16" s="8">
        <f>(0.643*B13*SQRT((D*0.5)*0.001))*0.000001/((tnet_STRA*0.001)^1.5)</f>
        <v>1407.3504759918001</v>
      </c>
      <c r="C16" s="3" t="s">
        <v>45</v>
      </c>
      <c r="D16" s="7" t="s">
        <v>47</v>
      </c>
      <c r="E16" s="8">
        <f>(0.643*E13*SQRT((D*0.5)*0.001))*0.000001/((tnet_STRA*0.001)^1.5)</f>
        <v>1407.3504759918001</v>
      </c>
      <c r="F16" s="3" t="s">
        <v>45</v>
      </c>
    </row>
    <row r="17" spans="1:6" x14ac:dyDescent="0.25">
      <c r="A17" s="521" t="s">
        <v>58</v>
      </c>
      <c r="B17" s="522"/>
      <c r="C17" s="523"/>
      <c r="D17" s="521" t="s">
        <v>59</v>
      </c>
      <c r="E17" s="522"/>
      <c r="F17" s="523"/>
    </row>
    <row r="18" spans="1:6" x14ac:dyDescent="0.25">
      <c r="A18" s="9" t="s">
        <v>38</v>
      </c>
      <c r="B18" s="4">
        <f>3*(FL_SUS*H_STRB)/((L_STRB*0.001)^2)</f>
        <v>104999.99999999999</v>
      </c>
      <c r="C18" s="10" t="s">
        <v>46</v>
      </c>
      <c r="D18" s="9" t="s">
        <v>38</v>
      </c>
      <c r="E18" s="4">
        <f>3*(FL_EXP*H_STRB)/((L_STRB*0.001)^2)</f>
        <v>104999.99999999999</v>
      </c>
      <c r="F18" s="10" t="s">
        <v>46</v>
      </c>
    </row>
    <row r="19" spans="1:6" x14ac:dyDescent="0.25">
      <c r="A19" s="9" t="s">
        <v>48</v>
      </c>
      <c r="B19" s="4">
        <f>(FC_SUS*H_STRB)/(L_STRB*B_STRB*0.000001)</f>
        <v>14583.333333333332</v>
      </c>
      <c r="C19" s="10" t="s">
        <v>46</v>
      </c>
      <c r="D19" s="9" t="s">
        <v>48</v>
      </c>
      <c r="E19" s="4">
        <f>(FC_EXP*H_STRB)/(L_STRB*B_STRB*0.000001)</f>
        <v>14583.333333333332</v>
      </c>
      <c r="F19" s="10" t="s">
        <v>46</v>
      </c>
    </row>
    <row r="20" spans="1:6" x14ac:dyDescent="0.25">
      <c r="A20" s="9" t="s">
        <v>49</v>
      </c>
      <c r="B20" s="4">
        <f>FA_SUS*1000/(2*L_STRB*0.001)</f>
        <v>12500</v>
      </c>
      <c r="C20" s="2" t="s">
        <v>46</v>
      </c>
      <c r="D20" s="9" t="s">
        <v>49</v>
      </c>
      <c r="E20" s="4">
        <f>FA_EXP*1000/(2*L_STRB*0.001)</f>
        <v>12500</v>
      </c>
      <c r="F20" s="2" t="s">
        <v>46</v>
      </c>
    </row>
    <row r="21" spans="1:6" x14ac:dyDescent="0.25">
      <c r="A21" s="9" t="s">
        <v>40</v>
      </c>
      <c r="B21" s="4">
        <f>1.5*B20+SQRT((B18^2+(1.5*B19)^2))</f>
        <v>126004.44338114854</v>
      </c>
      <c r="C21" s="10" t="s">
        <v>46</v>
      </c>
      <c r="D21" s="9" t="s">
        <v>40</v>
      </c>
      <c r="E21" s="4">
        <f>1.5*E20+SQRT((E18^2+(1.5*E19)^2))</f>
        <v>126004.44338114854</v>
      </c>
      <c r="F21" s="10" t="s">
        <v>46</v>
      </c>
    </row>
    <row r="22" spans="1:6" ht="18" x14ac:dyDescent="0.35">
      <c r="A22" s="6" t="s">
        <v>42</v>
      </c>
      <c r="B22" s="4">
        <f>((T*(1-0.01*MT)-Corr))+TP_STRB</f>
        <v>13.734375</v>
      </c>
      <c r="C22" s="2" t="s">
        <v>43</v>
      </c>
      <c r="D22" s="6" t="s">
        <v>42</v>
      </c>
      <c r="E22" s="4">
        <f>((T*(1-0.01*MT)-Corr))+TP_STRB</f>
        <v>13.734375</v>
      </c>
      <c r="F22" s="2" t="s">
        <v>43</v>
      </c>
    </row>
    <row r="23" spans="1:6" x14ac:dyDescent="0.25">
      <c r="A23" s="6" t="s">
        <v>44</v>
      </c>
      <c r="B23" s="5">
        <f>(1.17*B21*SQRT(0.5*D*0.001))*0.000001/((tnet_STRB*0.001)^1.5)</f>
        <v>50.566844297601243</v>
      </c>
      <c r="C23" s="2" t="s">
        <v>45</v>
      </c>
      <c r="D23" s="6" t="s">
        <v>44</v>
      </c>
      <c r="E23" s="5">
        <f>(1.17*E21*SQRT(0.5*D*0.001))*0.000001/((tnet_STRB*0.001)^1.5)</f>
        <v>50.566844297601243</v>
      </c>
      <c r="F23" s="2" t="s">
        <v>45</v>
      </c>
    </row>
    <row r="24" spans="1:6" ht="15.75" thickBot="1" x14ac:dyDescent="0.3">
      <c r="A24" s="7" t="s">
        <v>47</v>
      </c>
      <c r="B24" s="8">
        <f>(0.643*B21*SQRT((D*0.5)*0.001))*0.000001/((tnet_STRB*0.001)^1.5)</f>
        <v>27.790154601160346</v>
      </c>
      <c r="C24" s="3" t="s">
        <v>45</v>
      </c>
      <c r="D24" s="7" t="s">
        <v>47</v>
      </c>
      <c r="E24" s="8">
        <f>(0.643*E21*SQRT((D*0.5)*0.001))*0.000001/((tnet_STRB*0.001)^1.5)</f>
        <v>27.790154601160346</v>
      </c>
      <c r="F24" s="3" t="s">
        <v>45</v>
      </c>
    </row>
    <row r="25" spans="1:6" x14ac:dyDescent="0.25">
      <c r="A25" s="518" t="s">
        <v>61</v>
      </c>
      <c r="B25" s="519"/>
      <c r="C25" s="520"/>
      <c r="D25" s="518" t="s">
        <v>62</v>
      </c>
      <c r="E25" s="519"/>
      <c r="F25" s="520"/>
    </row>
    <row r="26" spans="1:6" x14ac:dyDescent="0.25">
      <c r="A26" s="9" t="s">
        <v>38</v>
      </c>
      <c r="B26" s="4">
        <f>(6*FL_SUS*H_STRC)/((0.001*L_STRC)^2+(6*W_STRC*L_STRC*0.000001))</f>
        <v>33600</v>
      </c>
      <c r="C26" s="10" t="s">
        <v>46</v>
      </c>
      <c r="D26" s="9" t="s">
        <v>38</v>
      </c>
      <c r="E26" s="4">
        <f>(6*FL_EXP*H_STRC)/((0.001*L_STRC)^2+(6*W_STRC*L_STRC*0.000001))</f>
        <v>33600</v>
      </c>
      <c r="F26" s="10" t="s">
        <v>46</v>
      </c>
    </row>
    <row r="27" spans="1:6" x14ac:dyDescent="0.25">
      <c r="A27" s="9" t="s">
        <v>48</v>
      </c>
      <c r="B27" s="4">
        <f>(3*FC_SUS*H_STRC)/((W_STRC*0.001)^2)</f>
        <v>134400</v>
      </c>
      <c r="C27" s="10" t="s">
        <v>46</v>
      </c>
      <c r="D27" s="9" t="s">
        <v>48</v>
      </c>
      <c r="E27" s="4">
        <f>(3*FC_EXP*H_STRC)/((W_STRC*0.001)^2)</f>
        <v>134400</v>
      </c>
      <c r="F27" s="10" t="s">
        <v>46</v>
      </c>
    </row>
    <row r="28" spans="1:6" x14ac:dyDescent="0.25">
      <c r="A28" s="9" t="s">
        <v>49</v>
      </c>
      <c r="B28" s="4">
        <f>FA_SUS*1000/((L_STRC+2*W_STRC)*0.001)</f>
        <v>10000</v>
      </c>
      <c r="C28" s="2" t="s">
        <v>46</v>
      </c>
      <c r="D28" s="9" t="s">
        <v>49</v>
      </c>
      <c r="E28" s="4">
        <f>FA_EXP*1000/((L_STRC+2*W_STRC)*0.001)</f>
        <v>10000</v>
      </c>
      <c r="F28" s="2" t="s">
        <v>46</v>
      </c>
    </row>
    <row r="29" spans="1:6" x14ac:dyDescent="0.25">
      <c r="A29" s="9" t="s">
        <v>40</v>
      </c>
      <c r="B29" s="4">
        <f>1.5*B28+SQRT((B26^2+(1.5*B27)^2))</f>
        <v>219380.82101802019</v>
      </c>
      <c r="C29" s="10" t="s">
        <v>46</v>
      </c>
      <c r="D29" s="9" t="s">
        <v>40</v>
      </c>
      <c r="E29" s="4">
        <f>1.5*E28+SQRT((E26^2+(1.5*E27)^2))</f>
        <v>219380.82101802019</v>
      </c>
      <c r="F29" s="10" t="s">
        <v>46</v>
      </c>
    </row>
    <row r="30" spans="1:6" ht="18" x14ac:dyDescent="0.35">
      <c r="A30" s="6" t="s">
        <v>42</v>
      </c>
      <c r="B30" s="4">
        <f>((T*(1-0.01*MT)-Corr))+TP_STRC</f>
        <v>12.734375</v>
      </c>
      <c r="C30" s="2" t="s">
        <v>43</v>
      </c>
      <c r="D30" s="6" t="s">
        <v>42</v>
      </c>
      <c r="E30" s="4">
        <f>((T*(1-0.01*MT)-Corr))+TP_STRC</f>
        <v>12.734375</v>
      </c>
      <c r="F30" s="2" t="s">
        <v>43</v>
      </c>
    </row>
    <row r="31" spans="1:6" x14ac:dyDescent="0.25">
      <c r="A31" s="6" t="s">
        <v>44</v>
      </c>
      <c r="B31" s="5">
        <f>(1.17*B29*SQRT(0.5*D*0.001))*0.000001/((tnet_STRC*0.001)^1.5)</f>
        <v>98.611042113329887</v>
      </c>
      <c r="C31" s="2" t="s">
        <v>45</v>
      </c>
      <c r="D31" s="6" t="s">
        <v>44</v>
      </c>
      <c r="E31" s="5">
        <f>(1.17*E29*SQRT(0.5*D*0.001))*0.000001/((tnet_STRC*0.001)^1.5)</f>
        <v>98.611042113329887</v>
      </c>
      <c r="F31" s="2" t="s">
        <v>45</v>
      </c>
    </row>
    <row r="32" spans="1:6" ht="15.75" thickBot="1" x14ac:dyDescent="0.3">
      <c r="A32" s="7" t="s">
        <v>47</v>
      </c>
      <c r="B32" s="8">
        <f>(0.643*B29*SQRT((D*0.5)*0.001))*0.000001/((tnet_STRC*0.001)^1.5)</f>
        <v>54.193931691342854</v>
      </c>
      <c r="C32" s="3" t="s">
        <v>45</v>
      </c>
      <c r="D32" s="7" t="s">
        <v>47</v>
      </c>
      <c r="E32" s="8">
        <f>(0.643*E29*SQRT((D*0.5)*0.001))*0.000001/((tnet_STRC*0.001)^1.5)</f>
        <v>54.193931691342854</v>
      </c>
      <c r="F32" s="3" t="s">
        <v>45</v>
      </c>
    </row>
  </sheetData>
  <mergeCells count="8">
    <mergeCell ref="D25:F25"/>
    <mergeCell ref="A25:C25"/>
    <mergeCell ref="D1:F1"/>
    <mergeCell ref="D9:F9"/>
    <mergeCell ref="A17:C17"/>
    <mergeCell ref="D17:F17"/>
    <mergeCell ref="A1:C1"/>
    <mergeCell ref="A9:C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1"/>
  <sheetViews>
    <sheetView topLeftCell="A128" workbookViewId="0">
      <selection activeCell="G158" sqref="G158:G160"/>
    </sheetView>
  </sheetViews>
  <sheetFormatPr defaultRowHeight="15" x14ac:dyDescent="0.25"/>
  <sheetData>
    <row r="1" spans="1:13" ht="15.75" thickBot="1" x14ac:dyDescent="0.3">
      <c r="A1" s="22" t="s">
        <v>67</v>
      </c>
      <c r="B1" s="22" t="s">
        <v>44</v>
      </c>
      <c r="C1" s="22" t="s">
        <v>68</v>
      </c>
    </row>
    <row r="2" spans="1:13" x14ac:dyDescent="0.25">
      <c r="A2" s="23">
        <v>2</v>
      </c>
      <c r="B2" s="23" t="b">
        <v>1</v>
      </c>
      <c r="C2" s="23" t="b">
        <v>1</v>
      </c>
      <c r="D2" s="147"/>
      <c r="E2" s="527" t="s">
        <v>53</v>
      </c>
      <c r="F2" s="527"/>
      <c r="G2" s="528"/>
      <c r="H2" s="524" t="s">
        <v>52</v>
      </c>
      <c r="I2" s="525"/>
      <c r="J2" s="525"/>
      <c r="K2" s="525"/>
      <c r="L2" s="525"/>
      <c r="M2" s="526"/>
    </row>
    <row r="3" spans="1:13" ht="15.75" thickBot="1" x14ac:dyDescent="0.3">
      <c r="A3" s="19" t="s">
        <v>64</v>
      </c>
      <c r="B3" s="16" t="s">
        <v>49</v>
      </c>
      <c r="C3" s="17" t="s">
        <v>38</v>
      </c>
      <c r="D3" s="17" t="s">
        <v>39</v>
      </c>
      <c r="E3" s="17" t="s">
        <v>40</v>
      </c>
      <c r="F3" s="17" t="s">
        <v>44</v>
      </c>
      <c r="G3" s="18" t="s">
        <v>47</v>
      </c>
      <c r="H3" s="16" t="s">
        <v>49</v>
      </c>
      <c r="I3" s="17" t="s">
        <v>38</v>
      </c>
      <c r="J3" s="17" t="s">
        <v>39</v>
      </c>
      <c r="K3" s="17" t="s">
        <v>40</v>
      </c>
      <c r="L3" s="17" t="s">
        <v>44</v>
      </c>
      <c r="M3" s="18" t="s">
        <v>47</v>
      </c>
    </row>
    <row r="4" spans="1:13" x14ac:dyDescent="0.25">
      <c r="A4" s="20">
        <f>d_Trunion</f>
        <v>355.6</v>
      </c>
      <c r="B4" s="13" t="e">
        <f t="shared" ref="B4:B35" si="0">IF(Load_Case=1,(FA_SUS*1000/(2*3.14*A4*0.001*0.5)),NA())</f>
        <v>#N/A</v>
      </c>
      <c r="C4" s="14" t="e">
        <f t="shared" ref="C4:C35" si="1">IF(Load_Case=1,((FL_SUS*H_Trunnion)/(3.14*((A4*0.5)*0.001)^2)),NA())</f>
        <v>#N/A</v>
      </c>
      <c r="D4" s="14" t="e">
        <f t="shared" ref="D4:D35" si="2">IF(Load_Case=1,((FC_SUS*H_Trunnion)/(3.14*((A4*0.5)*0.001)^2)),NA())</f>
        <v>#N/A</v>
      </c>
      <c r="E4" s="14" t="e">
        <f t="shared" ref="E4:E35" si="3">1.5*B4+SQRT(C4^2+(D4*1.5)^2)</f>
        <v>#N/A</v>
      </c>
      <c r="F4" s="14" t="e">
        <f t="shared" ref="F4:F35" si="4">IF(SL_Trunnion,(1.17*E4*SQRT(0.5*D*0.001))*0.000001/((tnet_TRUNNION*0.001)^1.5),NA())</f>
        <v>#N/A</v>
      </c>
      <c r="G4" s="21" t="e">
        <f t="shared" ref="G4:G35" si="5">IF(SC_Trunnion,(0.643*E4*SQRT((D*0.5)*0.001))*0.000001/((tnet_TRUNNION*0.001)^1.5),NA())</f>
        <v>#N/A</v>
      </c>
      <c r="H4" s="91">
        <f t="shared" ref="H4:H35" si="6">IF(Load_Case=2,(FA_EXP*1000/(2*3.14*A4*0.001*0.5)),NA())</f>
        <v>4477.9434417831526</v>
      </c>
      <c r="I4" s="92">
        <f t="shared" ref="I4:I35" si="7">IF(Load_Case=2,((FL_EXP*H_Trunnion)/(3.14*((A4*0.5)*0.001)^2)),NA())</f>
        <v>14103.75887175796</v>
      </c>
      <c r="J4" s="92">
        <f t="shared" ref="J4:J35" si="8">IF(Load_Case=2,((FC_EXP*H_Trunnion)/(3.14*((A4*0.5)*0.001)^2)),NA())</f>
        <v>7051.8794358789801</v>
      </c>
      <c r="K4" s="14">
        <f t="shared" ref="K4:K35" si="9">1.5*H4+SQRT(I4^2+(J4*1.5)^2)</f>
        <v>24346.613752372177</v>
      </c>
      <c r="L4" s="14">
        <f t="shared" ref="L4:L35" si="10">IF(SL_Trunnion,(1.17*K4*SQRT(0.5*D*0.001))*0.000001/((tnet_TRUNNION*0.001)^1.5),NA())</f>
        <v>10.943732195509202</v>
      </c>
      <c r="M4" s="21">
        <f t="shared" ref="M4:M35" si="11">IF(SC_Trunnion,(0.643*K4*SQRT((D*0.5)*0.001))*0.000001/((tnet_TRUNNION*0.001)^1.5),NA())</f>
        <v>6.0143758988995035</v>
      </c>
    </row>
    <row r="5" spans="1:13" x14ac:dyDescent="0.25">
      <c r="A5" s="20">
        <f t="shared" ref="A5:A36" si="12">IF((A4+d_Trunnion_Increment)&gt;Max_Trunnion_diameter,NA(),A4+d_Trunnion_Increment)</f>
        <v>360.6</v>
      </c>
      <c r="B5" s="142" t="e">
        <f t="shared" si="0"/>
        <v>#N/A</v>
      </c>
      <c r="C5" s="143" t="e">
        <f t="shared" si="1"/>
        <v>#N/A</v>
      </c>
      <c r="D5" s="143" t="e">
        <f t="shared" si="2"/>
        <v>#N/A</v>
      </c>
      <c r="E5" s="143" t="e">
        <f t="shared" si="3"/>
        <v>#N/A</v>
      </c>
      <c r="F5" s="143" t="e">
        <f t="shared" si="4"/>
        <v>#N/A</v>
      </c>
      <c r="G5" s="144" t="e">
        <f t="shared" si="5"/>
        <v>#N/A</v>
      </c>
      <c r="H5" s="142">
        <f t="shared" si="6"/>
        <v>4415.853266494978</v>
      </c>
      <c r="I5" s="143">
        <f t="shared" si="7"/>
        <v>13715.351243689336</v>
      </c>
      <c r="J5" s="143">
        <f t="shared" si="8"/>
        <v>6857.6756218446681</v>
      </c>
      <c r="K5" s="143">
        <f t="shared" si="9"/>
        <v>23767.968954354139</v>
      </c>
      <c r="L5" s="143">
        <f t="shared" si="10"/>
        <v>10.683633038795184</v>
      </c>
      <c r="M5" s="144">
        <f t="shared" si="11"/>
        <v>5.8714325161925673</v>
      </c>
    </row>
    <row r="6" spans="1:13" x14ac:dyDescent="0.25">
      <c r="A6" s="20">
        <f t="shared" si="12"/>
        <v>365.6</v>
      </c>
      <c r="B6" s="142" t="e">
        <f t="shared" si="0"/>
        <v>#N/A</v>
      </c>
      <c r="C6" s="143" t="e">
        <f t="shared" si="1"/>
        <v>#N/A</v>
      </c>
      <c r="D6" s="143" t="e">
        <f t="shared" si="2"/>
        <v>#N/A</v>
      </c>
      <c r="E6" s="143" t="e">
        <f t="shared" si="3"/>
        <v>#N/A</v>
      </c>
      <c r="F6" s="143" t="e">
        <f t="shared" si="4"/>
        <v>#N/A</v>
      </c>
      <c r="G6" s="144" t="e">
        <f t="shared" si="5"/>
        <v>#N/A</v>
      </c>
      <c r="H6" s="142">
        <f t="shared" si="6"/>
        <v>4355.461400158887</v>
      </c>
      <c r="I6" s="143">
        <f t="shared" si="7"/>
        <v>13342.770153659607</v>
      </c>
      <c r="J6" s="143">
        <f t="shared" si="8"/>
        <v>6671.3850768298034</v>
      </c>
      <c r="K6" s="143">
        <f t="shared" si="9"/>
        <v>23211.654792312838</v>
      </c>
      <c r="L6" s="143">
        <f t="shared" si="10"/>
        <v>10.43357143811957</v>
      </c>
      <c r="M6" s="144">
        <f t="shared" si="11"/>
        <v>5.7340054997528931</v>
      </c>
    </row>
    <row r="7" spans="1:13" x14ac:dyDescent="0.25">
      <c r="A7" s="20">
        <f t="shared" si="12"/>
        <v>370.6</v>
      </c>
      <c r="B7" s="142" t="e">
        <f t="shared" si="0"/>
        <v>#N/A</v>
      </c>
      <c r="C7" s="143" t="e">
        <f t="shared" si="1"/>
        <v>#N/A</v>
      </c>
      <c r="D7" s="143" t="e">
        <f t="shared" si="2"/>
        <v>#N/A</v>
      </c>
      <c r="E7" s="143" t="e">
        <f t="shared" si="3"/>
        <v>#N/A</v>
      </c>
      <c r="F7" s="143" t="e">
        <f t="shared" si="4"/>
        <v>#N/A</v>
      </c>
      <c r="G7" s="144" t="e">
        <f t="shared" si="5"/>
        <v>#N/A</v>
      </c>
      <c r="H7" s="142">
        <f t="shared" si="6"/>
        <v>4296.6991038804344</v>
      </c>
      <c r="I7" s="143">
        <f t="shared" si="7"/>
        <v>12985.167286416854</v>
      </c>
      <c r="J7" s="143">
        <f t="shared" si="8"/>
        <v>6492.583643208427</v>
      </c>
      <c r="K7" s="143">
        <f t="shared" si="9"/>
        <v>22676.507763841721</v>
      </c>
      <c r="L7" s="143">
        <f t="shared" si="10"/>
        <v>10.193024402528643</v>
      </c>
      <c r="M7" s="144">
        <f t="shared" si="11"/>
        <v>5.6018074280563397</v>
      </c>
    </row>
    <row r="8" spans="1:13" x14ac:dyDescent="0.25">
      <c r="A8" s="20">
        <f t="shared" si="12"/>
        <v>375.6</v>
      </c>
      <c r="B8" s="142" t="e">
        <f t="shared" si="0"/>
        <v>#N/A</v>
      </c>
      <c r="C8" s="143" t="e">
        <f t="shared" si="1"/>
        <v>#N/A</v>
      </c>
      <c r="D8" s="143" t="e">
        <f t="shared" si="2"/>
        <v>#N/A</v>
      </c>
      <c r="E8" s="143" t="e">
        <f t="shared" si="3"/>
        <v>#N/A</v>
      </c>
      <c r="F8" s="143" t="e">
        <f t="shared" si="4"/>
        <v>#N/A</v>
      </c>
      <c r="G8" s="144" t="e">
        <f t="shared" si="5"/>
        <v>#N/A</v>
      </c>
      <c r="H8" s="142">
        <f t="shared" si="6"/>
        <v>4239.5012989831985</v>
      </c>
      <c r="I8" s="143">
        <f t="shared" si="7"/>
        <v>12641.750412303461</v>
      </c>
      <c r="J8" s="143">
        <f t="shared" si="8"/>
        <v>6320.8752061517307</v>
      </c>
      <c r="K8" s="143">
        <f t="shared" si="9"/>
        <v>22161.439963854125</v>
      </c>
      <c r="L8" s="143">
        <f t="shared" si="10"/>
        <v>9.9615029218444917</v>
      </c>
      <c r="M8" s="144">
        <f t="shared" si="11"/>
        <v>5.4745695544837671</v>
      </c>
    </row>
    <row r="9" spans="1:13" x14ac:dyDescent="0.25">
      <c r="A9" s="20">
        <f t="shared" si="12"/>
        <v>380.6</v>
      </c>
      <c r="B9" s="142" t="e">
        <f t="shared" si="0"/>
        <v>#N/A</v>
      </c>
      <c r="C9" s="143" t="e">
        <f t="shared" si="1"/>
        <v>#N/A</v>
      </c>
      <c r="D9" s="143" t="e">
        <f t="shared" si="2"/>
        <v>#N/A</v>
      </c>
      <c r="E9" s="143" t="e">
        <f t="shared" si="3"/>
        <v>#N/A</v>
      </c>
      <c r="F9" s="143" t="e">
        <f t="shared" si="4"/>
        <v>#N/A</v>
      </c>
      <c r="G9" s="144" t="e">
        <f t="shared" si="5"/>
        <v>#N/A</v>
      </c>
      <c r="H9" s="142">
        <f t="shared" si="6"/>
        <v>4183.8063265845749</v>
      </c>
      <c r="I9" s="143">
        <f t="shared" si="7"/>
        <v>12311.778995729695</v>
      </c>
      <c r="J9" s="143">
        <f t="shared" si="8"/>
        <v>6155.8894978648477</v>
      </c>
      <c r="K9" s="143">
        <f t="shared" si="9"/>
        <v>21665.433234538985</v>
      </c>
      <c r="L9" s="143">
        <f t="shared" si="10"/>
        <v>9.7385493370870844</v>
      </c>
      <c r="M9" s="144">
        <f t="shared" si="11"/>
        <v>5.3520403621769201</v>
      </c>
    </row>
    <row r="10" spans="1:13" x14ac:dyDescent="0.25">
      <c r="A10" s="20">
        <f t="shared" si="12"/>
        <v>385.6</v>
      </c>
      <c r="B10" s="142" t="e">
        <f t="shared" si="0"/>
        <v>#N/A</v>
      </c>
      <c r="C10" s="143" t="e">
        <f t="shared" si="1"/>
        <v>#N/A</v>
      </c>
      <c r="D10" s="143" t="e">
        <f t="shared" si="2"/>
        <v>#N/A</v>
      </c>
      <c r="E10" s="143" t="e">
        <f t="shared" si="3"/>
        <v>#N/A</v>
      </c>
      <c r="F10" s="143" t="e">
        <f t="shared" si="4"/>
        <v>#N/A</v>
      </c>
      <c r="G10" s="144" t="e">
        <f t="shared" si="5"/>
        <v>#N/A</v>
      </c>
      <c r="H10" s="142">
        <f t="shared" si="6"/>
        <v>4129.5557258767867</v>
      </c>
      <c r="I10" s="143">
        <f t="shared" si="7"/>
        <v>11994.560199642117</v>
      </c>
      <c r="J10" s="143">
        <f t="shared" si="8"/>
        <v>5997.2800998210587</v>
      </c>
      <c r="K10" s="143">
        <f t="shared" si="9"/>
        <v>21187.533838367825</v>
      </c>
      <c r="L10" s="143">
        <f t="shared" si="10"/>
        <v>9.5237349460063871</v>
      </c>
      <c r="M10" s="144">
        <f t="shared" si="11"/>
        <v>5.2339842481043668</v>
      </c>
    </row>
    <row r="11" spans="1:13" x14ac:dyDescent="0.25">
      <c r="A11" s="20">
        <f t="shared" si="12"/>
        <v>390.6</v>
      </c>
      <c r="B11" s="142" t="e">
        <f t="shared" si="0"/>
        <v>#N/A</v>
      </c>
      <c r="C11" s="143" t="e">
        <f t="shared" si="1"/>
        <v>#N/A</v>
      </c>
      <c r="D11" s="143" t="e">
        <f t="shared" si="2"/>
        <v>#N/A</v>
      </c>
      <c r="E11" s="143" t="e">
        <f t="shared" si="3"/>
        <v>#N/A</v>
      </c>
      <c r="F11" s="143" t="e">
        <f t="shared" si="4"/>
        <v>#N/A</v>
      </c>
      <c r="G11" s="144" t="e">
        <f t="shared" si="5"/>
        <v>#N/A</v>
      </c>
      <c r="H11" s="142">
        <f t="shared" si="6"/>
        <v>4076.694029436992</v>
      </c>
      <c r="I11" s="143">
        <f t="shared" si="7"/>
        <v>11689.445245697465</v>
      </c>
      <c r="J11" s="143">
        <f t="shared" si="8"/>
        <v>5844.7226228487325</v>
      </c>
      <c r="K11" s="143">
        <f t="shared" si="9"/>
        <v>20726.847601277317</v>
      </c>
      <c r="L11" s="143">
        <f t="shared" si="10"/>
        <v>9.3166578199570171</v>
      </c>
      <c r="M11" s="144">
        <f t="shared" si="11"/>
        <v>5.1201803232755223</v>
      </c>
    </row>
    <row r="12" spans="1:13" x14ac:dyDescent="0.25">
      <c r="A12" s="20">
        <f t="shared" si="12"/>
        <v>395.6</v>
      </c>
      <c r="B12" s="142" t="e">
        <f t="shared" si="0"/>
        <v>#N/A</v>
      </c>
      <c r="C12" s="143" t="e">
        <f t="shared" si="1"/>
        <v>#N/A</v>
      </c>
      <c r="D12" s="143" t="e">
        <f t="shared" si="2"/>
        <v>#N/A</v>
      </c>
      <c r="E12" s="143" t="e">
        <f t="shared" si="3"/>
        <v>#N/A</v>
      </c>
      <c r="F12" s="143" t="e">
        <f t="shared" si="4"/>
        <v>#N/A</v>
      </c>
      <c r="G12" s="144" t="e">
        <f t="shared" si="5"/>
        <v>#N/A</v>
      </c>
      <c r="H12" s="142">
        <f t="shared" si="6"/>
        <v>4025.1685740598809</v>
      </c>
      <c r="I12" s="143">
        <f t="shared" si="7"/>
        <v>11395.826094406135</v>
      </c>
      <c r="J12" s="143">
        <f t="shared" si="8"/>
        <v>5697.9130472030674</v>
      </c>
      <c r="K12" s="143">
        <f t="shared" si="9"/>
        <v>20282.535479097492</v>
      </c>
      <c r="L12" s="143">
        <f t="shared" si="10"/>
        <v>9.1169408110205836</v>
      </c>
      <c r="M12" s="144">
        <f t="shared" si="11"/>
        <v>5.0104213175096035</v>
      </c>
    </row>
    <row r="13" spans="1:13" x14ac:dyDescent="0.25">
      <c r="A13" s="20" t="e">
        <f t="shared" si="12"/>
        <v>#N/A</v>
      </c>
      <c r="B13" s="142" t="e">
        <f t="shared" si="0"/>
        <v>#N/A</v>
      </c>
      <c r="C13" s="143" t="e">
        <f t="shared" si="1"/>
        <v>#N/A</v>
      </c>
      <c r="D13" s="143" t="e">
        <f t="shared" si="2"/>
        <v>#N/A</v>
      </c>
      <c r="E13" s="143" t="e">
        <f t="shared" si="3"/>
        <v>#N/A</v>
      </c>
      <c r="F13" s="143" t="e">
        <f t="shared" si="4"/>
        <v>#N/A</v>
      </c>
      <c r="G13" s="144" t="e">
        <f t="shared" si="5"/>
        <v>#N/A</v>
      </c>
      <c r="H13" s="142" t="e">
        <f t="shared" si="6"/>
        <v>#N/A</v>
      </c>
      <c r="I13" s="143" t="e">
        <f t="shared" si="7"/>
        <v>#N/A</v>
      </c>
      <c r="J13" s="143" t="e">
        <f t="shared" si="8"/>
        <v>#N/A</v>
      </c>
      <c r="K13" s="143" t="e">
        <f t="shared" si="9"/>
        <v>#N/A</v>
      </c>
      <c r="L13" s="143" t="e">
        <f t="shared" si="10"/>
        <v>#N/A</v>
      </c>
      <c r="M13" s="144" t="e">
        <f t="shared" si="11"/>
        <v>#N/A</v>
      </c>
    </row>
    <row r="14" spans="1:13" x14ac:dyDescent="0.25">
      <c r="A14" s="20" t="e">
        <f t="shared" si="12"/>
        <v>#N/A</v>
      </c>
      <c r="B14" s="142" t="e">
        <f t="shared" si="0"/>
        <v>#N/A</v>
      </c>
      <c r="C14" s="143" t="e">
        <f t="shared" si="1"/>
        <v>#N/A</v>
      </c>
      <c r="D14" s="143" t="e">
        <f t="shared" si="2"/>
        <v>#N/A</v>
      </c>
      <c r="E14" s="143" t="e">
        <f t="shared" si="3"/>
        <v>#N/A</v>
      </c>
      <c r="F14" s="143" t="e">
        <f t="shared" si="4"/>
        <v>#N/A</v>
      </c>
      <c r="G14" s="144" t="e">
        <f t="shared" si="5"/>
        <v>#N/A</v>
      </c>
      <c r="H14" s="142" t="e">
        <f t="shared" si="6"/>
        <v>#N/A</v>
      </c>
      <c r="I14" s="143" t="e">
        <f t="shared" si="7"/>
        <v>#N/A</v>
      </c>
      <c r="J14" s="143" t="e">
        <f t="shared" si="8"/>
        <v>#N/A</v>
      </c>
      <c r="K14" s="143" t="e">
        <f t="shared" si="9"/>
        <v>#N/A</v>
      </c>
      <c r="L14" s="143" t="e">
        <f t="shared" si="10"/>
        <v>#N/A</v>
      </c>
      <c r="M14" s="144" t="e">
        <f t="shared" si="11"/>
        <v>#N/A</v>
      </c>
    </row>
    <row r="15" spans="1:13" x14ac:dyDescent="0.25">
      <c r="A15" s="20" t="e">
        <f t="shared" si="12"/>
        <v>#N/A</v>
      </c>
      <c r="B15" s="142" t="e">
        <f t="shared" si="0"/>
        <v>#N/A</v>
      </c>
      <c r="C15" s="143" t="e">
        <f t="shared" si="1"/>
        <v>#N/A</v>
      </c>
      <c r="D15" s="143" t="e">
        <f t="shared" si="2"/>
        <v>#N/A</v>
      </c>
      <c r="E15" s="143" t="e">
        <f t="shared" si="3"/>
        <v>#N/A</v>
      </c>
      <c r="F15" s="143" t="e">
        <f t="shared" si="4"/>
        <v>#N/A</v>
      </c>
      <c r="G15" s="144" t="e">
        <f t="shared" si="5"/>
        <v>#N/A</v>
      </c>
      <c r="H15" s="142" t="e">
        <f t="shared" si="6"/>
        <v>#N/A</v>
      </c>
      <c r="I15" s="143" t="e">
        <f t="shared" si="7"/>
        <v>#N/A</v>
      </c>
      <c r="J15" s="143" t="e">
        <f t="shared" si="8"/>
        <v>#N/A</v>
      </c>
      <c r="K15" s="143" t="e">
        <f t="shared" si="9"/>
        <v>#N/A</v>
      </c>
      <c r="L15" s="143" t="e">
        <f t="shared" si="10"/>
        <v>#N/A</v>
      </c>
      <c r="M15" s="144" t="e">
        <f t="shared" si="11"/>
        <v>#N/A</v>
      </c>
    </row>
    <row r="16" spans="1:13" x14ac:dyDescent="0.25">
      <c r="A16" s="20" t="e">
        <f t="shared" si="12"/>
        <v>#N/A</v>
      </c>
      <c r="B16" s="142" t="e">
        <f t="shared" si="0"/>
        <v>#N/A</v>
      </c>
      <c r="C16" s="143" t="e">
        <f t="shared" si="1"/>
        <v>#N/A</v>
      </c>
      <c r="D16" s="143" t="e">
        <f t="shared" si="2"/>
        <v>#N/A</v>
      </c>
      <c r="E16" s="143" t="e">
        <f t="shared" si="3"/>
        <v>#N/A</v>
      </c>
      <c r="F16" s="143" t="e">
        <f t="shared" si="4"/>
        <v>#N/A</v>
      </c>
      <c r="G16" s="144" t="e">
        <f t="shared" si="5"/>
        <v>#N/A</v>
      </c>
      <c r="H16" s="142" t="e">
        <f t="shared" si="6"/>
        <v>#N/A</v>
      </c>
      <c r="I16" s="143" t="e">
        <f t="shared" si="7"/>
        <v>#N/A</v>
      </c>
      <c r="J16" s="143" t="e">
        <f t="shared" si="8"/>
        <v>#N/A</v>
      </c>
      <c r="K16" s="143" t="e">
        <f t="shared" si="9"/>
        <v>#N/A</v>
      </c>
      <c r="L16" s="143" t="e">
        <f t="shared" si="10"/>
        <v>#N/A</v>
      </c>
      <c r="M16" s="144" t="e">
        <f t="shared" si="11"/>
        <v>#N/A</v>
      </c>
    </row>
    <row r="17" spans="1:13" x14ac:dyDescent="0.25">
      <c r="A17" s="20" t="e">
        <f t="shared" si="12"/>
        <v>#N/A</v>
      </c>
      <c r="B17" s="142" t="e">
        <f t="shared" si="0"/>
        <v>#N/A</v>
      </c>
      <c r="C17" s="143" t="e">
        <f t="shared" si="1"/>
        <v>#N/A</v>
      </c>
      <c r="D17" s="143" t="e">
        <f t="shared" si="2"/>
        <v>#N/A</v>
      </c>
      <c r="E17" s="143" t="e">
        <f t="shared" si="3"/>
        <v>#N/A</v>
      </c>
      <c r="F17" s="143" t="e">
        <f t="shared" si="4"/>
        <v>#N/A</v>
      </c>
      <c r="G17" s="144" t="e">
        <f t="shared" si="5"/>
        <v>#N/A</v>
      </c>
      <c r="H17" s="142" t="e">
        <f t="shared" si="6"/>
        <v>#N/A</v>
      </c>
      <c r="I17" s="143" t="e">
        <f t="shared" si="7"/>
        <v>#N/A</v>
      </c>
      <c r="J17" s="143" t="e">
        <f t="shared" si="8"/>
        <v>#N/A</v>
      </c>
      <c r="K17" s="143" t="e">
        <f t="shared" si="9"/>
        <v>#N/A</v>
      </c>
      <c r="L17" s="143" t="e">
        <f t="shared" si="10"/>
        <v>#N/A</v>
      </c>
      <c r="M17" s="144" t="e">
        <f t="shared" si="11"/>
        <v>#N/A</v>
      </c>
    </row>
    <row r="18" spans="1:13" x14ac:dyDescent="0.25">
      <c r="A18" s="20" t="e">
        <f t="shared" si="12"/>
        <v>#N/A</v>
      </c>
      <c r="B18" s="142" t="e">
        <f t="shared" si="0"/>
        <v>#N/A</v>
      </c>
      <c r="C18" s="143" t="e">
        <f t="shared" si="1"/>
        <v>#N/A</v>
      </c>
      <c r="D18" s="143" t="e">
        <f t="shared" si="2"/>
        <v>#N/A</v>
      </c>
      <c r="E18" s="143" t="e">
        <f t="shared" si="3"/>
        <v>#N/A</v>
      </c>
      <c r="F18" s="143" t="e">
        <f t="shared" si="4"/>
        <v>#N/A</v>
      </c>
      <c r="G18" s="144" t="e">
        <f t="shared" si="5"/>
        <v>#N/A</v>
      </c>
      <c r="H18" s="142" t="e">
        <f t="shared" si="6"/>
        <v>#N/A</v>
      </c>
      <c r="I18" s="143" t="e">
        <f t="shared" si="7"/>
        <v>#N/A</v>
      </c>
      <c r="J18" s="143" t="e">
        <f t="shared" si="8"/>
        <v>#N/A</v>
      </c>
      <c r="K18" s="143" t="e">
        <f t="shared" si="9"/>
        <v>#N/A</v>
      </c>
      <c r="L18" s="143" t="e">
        <f t="shared" si="10"/>
        <v>#N/A</v>
      </c>
      <c r="M18" s="144" t="e">
        <f t="shared" si="11"/>
        <v>#N/A</v>
      </c>
    </row>
    <row r="19" spans="1:13" x14ac:dyDescent="0.25">
      <c r="A19" s="20" t="e">
        <f t="shared" si="12"/>
        <v>#N/A</v>
      </c>
      <c r="B19" s="142" t="e">
        <f t="shared" si="0"/>
        <v>#N/A</v>
      </c>
      <c r="C19" s="143" t="e">
        <f t="shared" si="1"/>
        <v>#N/A</v>
      </c>
      <c r="D19" s="143" t="e">
        <f t="shared" si="2"/>
        <v>#N/A</v>
      </c>
      <c r="E19" s="143" t="e">
        <f t="shared" si="3"/>
        <v>#N/A</v>
      </c>
      <c r="F19" s="143" t="e">
        <f t="shared" si="4"/>
        <v>#N/A</v>
      </c>
      <c r="G19" s="144" t="e">
        <f t="shared" si="5"/>
        <v>#N/A</v>
      </c>
      <c r="H19" s="142" t="e">
        <f t="shared" si="6"/>
        <v>#N/A</v>
      </c>
      <c r="I19" s="143" t="e">
        <f t="shared" si="7"/>
        <v>#N/A</v>
      </c>
      <c r="J19" s="143" t="e">
        <f t="shared" si="8"/>
        <v>#N/A</v>
      </c>
      <c r="K19" s="143" t="e">
        <f t="shared" si="9"/>
        <v>#N/A</v>
      </c>
      <c r="L19" s="143" t="e">
        <f t="shared" si="10"/>
        <v>#N/A</v>
      </c>
      <c r="M19" s="144" t="e">
        <f t="shared" si="11"/>
        <v>#N/A</v>
      </c>
    </row>
    <row r="20" spans="1:13" x14ac:dyDescent="0.25">
      <c r="A20" s="20" t="e">
        <f t="shared" si="12"/>
        <v>#N/A</v>
      </c>
      <c r="B20" s="142" t="e">
        <f t="shared" si="0"/>
        <v>#N/A</v>
      </c>
      <c r="C20" s="143" t="e">
        <f t="shared" si="1"/>
        <v>#N/A</v>
      </c>
      <c r="D20" s="143" t="e">
        <f t="shared" si="2"/>
        <v>#N/A</v>
      </c>
      <c r="E20" s="143" t="e">
        <f t="shared" si="3"/>
        <v>#N/A</v>
      </c>
      <c r="F20" s="143" t="e">
        <f t="shared" si="4"/>
        <v>#N/A</v>
      </c>
      <c r="G20" s="144" t="e">
        <f t="shared" si="5"/>
        <v>#N/A</v>
      </c>
      <c r="H20" s="142" t="e">
        <f t="shared" si="6"/>
        <v>#N/A</v>
      </c>
      <c r="I20" s="143" t="e">
        <f t="shared" si="7"/>
        <v>#N/A</v>
      </c>
      <c r="J20" s="143" t="e">
        <f t="shared" si="8"/>
        <v>#N/A</v>
      </c>
      <c r="K20" s="143" t="e">
        <f t="shared" si="9"/>
        <v>#N/A</v>
      </c>
      <c r="L20" s="143" t="e">
        <f t="shared" si="10"/>
        <v>#N/A</v>
      </c>
      <c r="M20" s="144" t="e">
        <f t="shared" si="11"/>
        <v>#N/A</v>
      </c>
    </row>
    <row r="21" spans="1:13" x14ac:dyDescent="0.25">
      <c r="A21" s="20" t="e">
        <f t="shared" si="12"/>
        <v>#N/A</v>
      </c>
      <c r="B21" s="142" t="e">
        <f t="shared" si="0"/>
        <v>#N/A</v>
      </c>
      <c r="C21" s="143" t="e">
        <f t="shared" si="1"/>
        <v>#N/A</v>
      </c>
      <c r="D21" s="143" t="e">
        <f t="shared" si="2"/>
        <v>#N/A</v>
      </c>
      <c r="E21" s="143" t="e">
        <f t="shared" si="3"/>
        <v>#N/A</v>
      </c>
      <c r="F21" s="143" t="e">
        <f t="shared" si="4"/>
        <v>#N/A</v>
      </c>
      <c r="G21" s="144" t="e">
        <f t="shared" si="5"/>
        <v>#N/A</v>
      </c>
      <c r="H21" s="142" t="e">
        <f t="shared" si="6"/>
        <v>#N/A</v>
      </c>
      <c r="I21" s="143" t="e">
        <f t="shared" si="7"/>
        <v>#N/A</v>
      </c>
      <c r="J21" s="143" t="e">
        <f t="shared" si="8"/>
        <v>#N/A</v>
      </c>
      <c r="K21" s="143" t="e">
        <f t="shared" si="9"/>
        <v>#N/A</v>
      </c>
      <c r="L21" s="143" t="e">
        <f t="shared" si="10"/>
        <v>#N/A</v>
      </c>
      <c r="M21" s="144" t="e">
        <f t="shared" si="11"/>
        <v>#N/A</v>
      </c>
    </row>
    <row r="22" spans="1:13" x14ac:dyDescent="0.25">
      <c r="A22" s="20" t="e">
        <f t="shared" si="12"/>
        <v>#N/A</v>
      </c>
      <c r="B22" s="142" t="e">
        <f t="shared" si="0"/>
        <v>#N/A</v>
      </c>
      <c r="C22" s="143" t="e">
        <f t="shared" si="1"/>
        <v>#N/A</v>
      </c>
      <c r="D22" s="143" t="e">
        <f t="shared" si="2"/>
        <v>#N/A</v>
      </c>
      <c r="E22" s="143" t="e">
        <f t="shared" si="3"/>
        <v>#N/A</v>
      </c>
      <c r="F22" s="143" t="e">
        <f t="shared" si="4"/>
        <v>#N/A</v>
      </c>
      <c r="G22" s="144" t="e">
        <f t="shared" si="5"/>
        <v>#N/A</v>
      </c>
      <c r="H22" s="142" t="e">
        <f t="shared" si="6"/>
        <v>#N/A</v>
      </c>
      <c r="I22" s="143" t="e">
        <f t="shared" si="7"/>
        <v>#N/A</v>
      </c>
      <c r="J22" s="143" t="e">
        <f t="shared" si="8"/>
        <v>#N/A</v>
      </c>
      <c r="K22" s="143" t="e">
        <f t="shared" si="9"/>
        <v>#N/A</v>
      </c>
      <c r="L22" s="143" t="e">
        <f t="shared" si="10"/>
        <v>#N/A</v>
      </c>
      <c r="M22" s="144" t="e">
        <f t="shared" si="11"/>
        <v>#N/A</v>
      </c>
    </row>
    <row r="23" spans="1:13" x14ac:dyDescent="0.25">
      <c r="A23" s="20" t="e">
        <f t="shared" si="12"/>
        <v>#N/A</v>
      </c>
      <c r="B23" s="142" t="e">
        <f t="shared" si="0"/>
        <v>#N/A</v>
      </c>
      <c r="C23" s="143" t="e">
        <f t="shared" si="1"/>
        <v>#N/A</v>
      </c>
      <c r="D23" s="143" t="e">
        <f t="shared" si="2"/>
        <v>#N/A</v>
      </c>
      <c r="E23" s="143" t="e">
        <f t="shared" si="3"/>
        <v>#N/A</v>
      </c>
      <c r="F23" s="143" t="e">
        <f t="shared" si="4"/>
        <v>#N/A</v>
      </c>
      <c r="G23" s="144" t="e">
        <f t="shared" si="5"/>
        <v>#N/A</v>
      </c>
      <c r="H23" s="142" t="e">
        <f t="shared" si="6"/>
        <v>#N/A</v>
      </c>
      <c r="I23" s="143" t="e">
        <f t="shared" si="7"/>
        <v>#N/A</v>
      </c>
      <c r="J23" s="143" t="e">
        <f t="shared" si="8"/>
        <v>#N/A</v>
      </c>
      <c r="K23" s="143" t="e">
        <f t="shared" si="9"/>
        <v>#N/A</v>
      </c>
      <c r="L23" s="143" t="e">
        <f t="shared" si="10"/>
        <v>#N/A</v>
      </c>
      <c r="M23" s="144" t="e">
        <f t="shared" si="11"/>
        <v>#N/A</v>
      </c>
    </row>
    <row r="24" spans="1:13" x14ac:dyDescent="0.25">
      <c r="A24" s="20" t="e">
        <f t="shared" si="12"/>
        <v>#N/A</v>
      </c>
      <c r="B24" s="142" t="e">
        <f t="shared" si="0"/>
        <v>#N/A</v>
      </c>
      <c r="C24" s="143" t="e">
        <f t="shared" si="1"/>
        <v>#N/A</v>
      </c>
      <c r="D24" s="143" t="e">
        <f t="shared" si="2"/>
        <v>#N/A</v>
      </c>
      <c r="E24" s="143" t="e">
        <f t="shared" si="3"/>
        <v>#N/A</v>
      </c>
      <c r="F24" s="143" t="e">
        <f t="shared" si="4"/>
        <v>#N/A</v>
      </c>
      <c r="G24" s="144" t="e">
        <f t="shared" si="5"/>
        <v>#N/A</v>
      </c>
      <c r="H24" s="142" t="e">
        <f t="shared" si="6"/>
        <v>#N/A</v>
      </c>
      <c r="I24" s="143" t="e">
        <f t="shared" si="7"/>
        <v>#N/A</v>
      </c>
      <c r="J24" s="143" t="e">
        <f t="shared" si="8"/>
        <v>#N/A</v>
      </c>
      <c r="K24" s="143" t="e">
        <f t="shared" si="9"/>
        <v>#N/A</v>
      </c>
      <c r="L24" s="143" t="e">
        <f t="shared" si="10"/>
        <v>#N/A</v>
      </c>
      <c r="M24" s="144" t="e">
        <f t="shared" si="11"/>
        <v>#N/A</v>
      </c>
    </row>
    <row r="25" spans="1:13" x14ac:dyDescent="0.25">
      <c r="A25" s="20" t="e">
        <f t="shared" si="12"/>
        <v>#N/A</v>
      </c>
      <c r="B25" s="142" t="e">
        <f t="shared" si="0"/>
        <v>#N/A</v>
      </c>
      <c r="C25" s="143" t="e">
        <f t="shared" si="1"/>
        <v>#N/A</v>
      </c>
      <c r="D25" s="143" t="e">
        <f t="shared" si="2"/>
        <v>#N/A</v>
      </c>
      <c r="E25" s="143" t="e">
        <f t="shared" si="3"/>
        <v>#N/A</v>
      </c>
      <c r="F25" s="143" t="e">
        <f t="shared" si="4"/>
        <v>#N/A</v>
      </c>
      <c r="G25" s="144" t="e">
        <f t="shared" si="5"/>
        <v>#N/A</v>
      </c>
      <c r="H25" s="142" t="e">
        <f t="shared" si="6"/>
        <v>#N/A</v>
      </c>
      <c r="I25" s="143" t="e">
        <f t="shared" si="7"/>
        <v>#N/A</v>
      </c>
      <c r="J25" s="143" t="e">
        <f t="shared" si="8"/>
        <v>#N/A</v>
      </c>
      <c r="K25" s="143" t="e">
        <f t="shared" si="9"/>
        <v>#N/A</v>
      </c>
      <c r="L25" s="143" t="e">
        <f t="shared" si="10"/>
        <v>#N/A</v>
      </c>
      <c r="M25" s="144" t="e">
        <f t="shared" si="11"/>
        <v>#N/A</v>
      </c>
    </row>
    <row r="26" spans="1:13" x14ac:dyDescent="0.25">
      <c r="A26" s="20" t="e">
        <f t="shared" si="12"/>
        <v>#N/A</v>
      </c>
      <c r="B26" s="142" t="e">
        <f t="shared" si="0"/>
        <v>#N/A</v>
      </c>
      <c r="C26" s="143" t="e">
        <f t="shared" si="1"/>
        <v>#N/A</v>
      </c>
      <c r="D26" s="143" t="e">
        <f t="shared" si="2"/>
        <v>#N/A</v>
      </c>
      <c r="E26" s="143" t="e">
        <f t="shared" si="3"/>
        <v>#N/A</v>
      </c>
      <c r="F26" s="143" t="e">
        <f t="shared" si="4"/>
        <v>#N/A</v>
      </c>
      <c r="G26" s="144" t="e">
        <f t="shared" si="5"/>
        <v>#N/A</v>
      </c>
      <c r="H26" s="142" t="e">
        <f t="shared" si="6"/>
        <v>#N/A</v>
      </c>
      <c r="I26" s="143" t="e">
        <f t="shared" si="7"/>
        <v>#N/A</v>
      </c>
      <c r="J26" s="143" t="e">
        <f t="shared" si="8"/>
        <v>#N/A</v>
      </c>
      <c r="K26" s="143" t="e">
        <f t="shared" si="9"/>
        <v>#N/A</v>
      </c>
      <c r="L26" s="143" t="e">
        <f t="shared" si="10"/>
        <v>#N/A</v>
      </c>
      <c r="M26" s="144" t="e">
        <f t="shared" si="11"/>
        <v>#N/A</v>
      </c>
    </row>
    <row r="27" spans="1:13" x14ac:dyDescent="0.25">
      <c r="A27" s="20" t="e">
        <f t="shared" si="12"/>
        <v>#N/A</v>
      </c>
      <c r="B27" s="142" t="e">
        <f t="shared" si="0"/>
        <v>#N/A</v>
      </c>
      <c r="C27" s="143" t="e">
        <f t="shared" si="1"/>
        <v>#N/A</v>
      </c>
      <c r="D27" s="143" t="e">
        <f t="shared" si="2"/>
        <v>#N/A</v>
      </c>
      <c r="E27" s="143" t="e">
        <f t="shared" si="3"/>
        <v>#N/A</v>
      </c>
      <c r="F27" s="143" t="e">
        <f t="shared" si="4"/>
        <v>#N/A</v>
      </c>
      <c r="G27" s="144" t="e">
        <f t="shared" si="5"/>
        <v>#N/A</v>
      </c>
      <c r="H27" s="142" t="e">
        <f t="shared" si="6"/>
        <v>#N/A</v>
      </c>
      <c r="I27" s="143" t="e">
        <f t="shared" si="7"/>
        <v>#N/A</v>
      </c>
      <c r="J27" s="143" t="e">
        <f t="shared" si="8"/>
        <v>#N/A</v>
      </c>
      <c r="K27" s="143" t="e">
        <f t="shared" si="9"/>
        <v>#N/A</v>
      </c>
      <c r="L27" s="143" t="e">
        <f t="shared" si="10"/>
        <v>#N/A</v>
      </c>
      <c r="M27" s="144" t="e">
        <f t="shared" si="11"/>
        <v>#N/A</v>
      </c>
    </row>
    <row r="28" spans="1:13" x14ac:dyDescent="0.25">
      <c r="A28" s="20" t="e">
        <f t="shared" si="12"/>
        <v>#N/A</v>
      </c>
      <c r="B28" s="142" t="e">
        <f t="shared" si="0"/>
        <v>#N/A</v>
      </c>
      <c r="C28" s="143" t="e">
        <f t="shared" si="1"/>
        <v>#N/A</v>
      </c>
      <c r="D28" s="143" t="e">
        <f t="shared" si="2"/>
        <v>#N/A</v>
      </c>
      <c r="E28" s="143" t="e">
        <f t="shared" si="3"/>
        <v>#N/A</v>
      </c>
      <c r="F28" s="143" t="e">
        <f t="shared" si="4"/>
        <v>#N/A</v>
      </c>
      <c r="G28" s="144" t="e">
        <f t="shared" si="5"/>
        <v>#N/A</v>
      </c>
      <c r="H28" s="142" t="e">
        <f t="shared" si="6"/>
        <v>#N/A</v>
      </c>
      <c r="I28" s="143" t="e">
        <f t="shared" si="7"/>
        <v>#N/A</v>
      </c>
      <c r="J28" s="143" t="e">
        <f t="shared" si="8"/>
        <v>#N/A</v>
      </c>
      <c r="K28" s="143" t="e">
        <f t="shared" si="9"/>
        <v>#N/A</v>
      </c>
      <c r="L28" s="143" t="e">
        <f t="shared" si="10"/>
        <v>#N/A</v>
      </c>
      <c r="M28" s="144" t="e">
        <f t="shared" si="11"/>
        <v>#N/A</v>
      </c>
    </row>
    <row r="29" spans="1:13" x14ac:dyDescent="0.25">
      <c r="A29" s="20" t="e">
        <f t="shared" si="12"/>
        <v>#N/A</v>
      </c>
      <c r="B29" s="142" t="e">
        <f t="shared" si="0"/>
        <v>#N/A</v>
      </c>
      <c r="C29" s="143" t="e">
        <f t="shared" si="1"/>
        <v>#N/A</v>
      </c>
      <c r="D29" s="143" t="e">
        <f t="shared" si="2"/>
        <v>#N/A</v>
      </c>
      <c r="E29" s="143" t="e">
        <f t="shared" si="3"/>
        <v>#N/A</v>
      </c>
      <c r="F29" s="143" t="e">
        <f t="shared" si="4"/>
        <v>#N/A</v>
      </c>
      <c r="G29" s="144" t="e">
        <f t="shared" si="5"/>
        <v>#N/A</v>
      </c>
      <c r="H29" s="142" t="e">
        <f t="shared" si="6"/>
        <v>#N/A</v>
      </c>
      <c r="I29" s="143" t="e">
        <f t="shared" si="7"/>
        <v>#N/A</v>
      </c>
      <c r="J29" s="143" t="e">
        <f t="shared" si="8"/>
        <v>#N/A</v>
      </c>
      <c r="K29" s="143" t="e">
        <f t="shared" si="9"/>
        <v>#N/A</v>
      </c>
      <c r="L29" s="143" t="e">
        <f t="shared" si="10"/>
        <v>#N/A</v>
      </c>
      <c r="M29" s="144" t="e">
        <f t="shared" si="11"/>
        <v>#N/A</v>
      </c>
    </row>
    <row r="30" spans="1:13" x14ac:dyDescent="0.25">
      <c r="A30" s="20" t="e">
        <f t="shared" si="12"/>
        <v>#N/A</v>
      </c>
      <c r="B30" s="142" t="e">
        <f t="shared" si="0"/>
        <v>#N/A</v>
      </c>
      <c r="C30" s="143" t="e">
        <f t="shared" si="1"/>
        <v>#N/A</v>
      </c>
      <c r="D30" s="143" t="e">
        <f t="shared" si="2"/>
        <v>#N/A</v>
      </c>
      <c r="E30" s="143" t="e">
        <f t="shared" si="3"/>
        <v>#N/A</v>
      </c>
      <c r="F30" s="143" t="e">
        <f t="shared" si="4"/>
        <v>#N/A</v>
      </c>
      <c r="G30" s="144" t="e">
        <f t="shared" si="5"/>
        <v>#N/A</v>
      </c>
      <c r="H30" s="142" t="e">
        <f t="shared" si="6"/>
        <v>#N/A</v>
      </c>
      <c r="I30" s="143" t="e">
        <f t="shared" si="7"/>
        <v>#N/A</v>
      </c>
      <c r="J30" s="143" t="e">
        <f t="shared" si="8"/>
        <v>#N/A</v>
      </c>
      <c r="K30" s="143" t="e">
        <f t="shared" si="9"/>
        <v>#N/A</v>
      </c>
      <c r="L30" s="143" t="e">
        <f t="shared" si="10"/>
        <v>#N/A</v>
      </c>
      <c r="M30" s="144" t="e">
        <f t="shared" si="11"/>
        <v>#N/A</v>
      </c>
    </row>
    <row r="31" spans="1:13" x14ac:dyDescent="0.25">
      <c r="A31" s="20" t="e">
        <f t="shared" si="12"/>
        <v>#N/A</v>
      </c>
      <c r="B31" s="142" t="e">
        <f t="shared" si="0"/>
        <v>#N/A</v>
      </c>
      <c r="C31" s="143" t="e">
        <f t="shared" si="1"/>
        <v>#N/A</v>
      </c>
      <c r="D31" s="143" t="e">
        <f t="shared" si="2"/>
        <v>#N/A</v>
      </c>
      <c r="E31" s="143" t="e">
        <f t="shared" si="3"/>
        <v>#N/A</v>
      </c>
      <c r="F31" s="143" t="e">
        <f t="shared" si="4"/>
        <v>#N/A</v>
      </c>
      <c r="G31" s="144" t="e">
        <f t="shared" si="5"/>
        <v>#N/A</v>
      </c>
      <c r="H31" s="142" t="e">
        <f t="shared" si="6"/>
        <v>#N/A</v>
      </c>
      <c r="I31" s="143" t="e">
        <f t="shared" si="7"/>
        <v>#N/A</v>
      </c>
      <c r="J31" s="143" t="e">
        <f t="shared" si="8"/>
        <v>#N/A</v>
      </c>
      <c r="K31" s="143" t="e">
        <f t="shared" si="9"/>
        <v>#N/A</v>
      </c>
      <c r="L31" s="143" t="e">
        <f t="shared" si="10"/>
        <v>#N/A</v>
      </c>
      <c r="M31" s="144" t="e">
        <f t="shared" si="11"/>
        <v>#N/A</v>
      </c>
    </row>
    <row r="32" spans="1:13" x14ac:dyDescent="0.25">
      <c r="A32" s="20" t="e">
        <f t="shared" si="12"/>
        <v>#N/A</v>
      </c>
      <c r="B32" s="142" t="e">
        <f t="shared" si="0"/>
        <v>#N/A</v>
      </c>
      <c r="C32" s="143" t="e">
        <f t="shared" si="1"/>
        <v>#N/A</v>
      </c>
      <c r="D32" s="143" t="e">
        <f t="shared" si="2"/>
        <v>#N/A</v>
      </c>
      <c r="E32" s="143" t="e">
        <f t="shared" si="3"/>
        <v>#N/A</v>
      </c>
      <c r="F32" s="143" t="e">
        <f t="shared" si="4"/>
        <v>#N/A</v>
      </c>
      <c r="G32" s="144" t="e">
        <f t="shared" si="5"/>
        <v>#N/A</v>
      </c>
      <c r="H32" s="142" t="e">
        <f t="shared" si="6"/>
        <v>#N/A</v>
      </c>
      <c r="I32" s="143" t="e">
        <f t="shared" si="7"/>
        <v>#N/A</v>
      </c>
      <c r="J32" s="143" t="e">
        <f t="shared" si="8"/>
        <v>#N/A</v>
      </c>
      <c r="K32" s="143" t="e">
        <f t="shared" si="9"/>
        <v>#N/A</v>
      </c>
      <c r="L32" s="143" t="e">
        <f t="shared" si="10"/>
        <v>#N/A</v>
      </c>
      <c r="M32" s="144" t="e">
        <f t="shared" si="11"/>
        <v>#N/A</v>
      </c>
    </row>
    <row r="33" spans="1:13" x14ac:dyDescent="0.25">
      <c r="A33" s="20" t="e">
        <f t="shared" si="12"/>
        <v>#N/A</v>
      </c>
      <c r="B33" s="142" t="e">
        <f t="shared" si="0"/>
        <v>#N/A</v>
      </c>
      <c r="C33" s="143" t="e">
        <f t="shared" si="1"/>
        <v>#N/A</v>
      </c>
      <c r="D33" s="143" t="e">
        <f t="shared" si="2"/>
        <v>#N/A</v>
      </c>
      <c r="E33" s="143" t="e">
        <f t="shared" si="3"/>
        <v>#N/A</v>
      </c>
      <c r="F33" s="143" t="e">
        <f t="shared" si="4"/>
        <v>#N/A</v>
      </c>
      <c r="G33" s="144" t="e">
        <f t="shared" si="5"/>
        <v>#N/A</v>
      </c>
      <c r="H33" s="142" t="e">
        <f t="shared" si="6"/>
        <v>#N/A</v>
      </c>
      <c r="I33" s="143" t="e">
        <f t="shared" si="7"/>
        <v>#N/A</v>
      </c>
      <c r="J33" s="143" t="e">
        <f t="shared" si="8"/>
        <v>#N/A</v>
      </c>
      <c r="K33" s="143" t="e">
        <f t="shared" si="9"/>
        <v>#N/A</v>
      </c>
      <c r="L33" s="143" t="e">
        <f t="shared" si="10"/>
        <v>#N/A</v>
      </c>
      <c r="M33" s="144" t="e">
        <f t="shared" si="11"/>
        <v>#N/A</v>
      </c>
    </row>
    <row r="34" spans="1:13" x14ac:dyDescent="0.25">
      <c r="A34" s="20" t="e">
        <f t="shared" si="12"/>
        <v>#N/A</v>
      </c>
      <c r="B34" s="142" t="e">
        <f t="shared" si="0"/>
        <v>#N/A</v>
      </c>
      <c r="C34" s="143" t="e">
        <f t="shared" si="1"/>
        <v>#N/A</v>
      </c>
      <c r="D34" s="143" t="e">
        <f t="shared" si="2"/>
        <v>#N/A</v>
      </c>
      <c r="E34" s="143" t="e">
        <f t="shared" si="3"/>
        <v>#N/A</v>
      </c>
      <c r="F34" s="143" t="e">
        <f t="shared" si="4"/>
        <v>#N/A</v>
      </c>
      <c r="G34" s="144" t="e">
        <f t="shared" si="5"/>
        <v>#N/A</v>
      </c>
      <c r="H34" s="142" t="e">
        <f t="shared" si="6"/>
        <v>#N/A</v>
      </c>
      <c r="I34" s="143" t="e">
        <f t="shared" si="7"/>
        <v>#N/A</v>
      </c>
      <c r="J34" s="143" t="e">
        <f t="shared" si="8"/>
        <v>#N/A</v>
      </c>
      <c r="K34" s="143" t="e">
        <f t="shared" si="9"/>
        <v>#N/A</v>
      </c>
      <c r="L34" s="143" t="e">
        <f t="shared" si="10"/>
        <v>#N/A</v>
      </c>
      <c r="M34" s="144" t="e">
        <f t="shared" si="11"/>
        <v>#N/A</v>
      </c>
    </row>
    <row r="35" spans="1:13" x14ac:dyDescent="0.25">
      <c r="A35" s="20" t="e">
        <f t="shared" si="12"/>
        <v>#N/A</v>
      </c>
      <c r="B35" s="142" t="e">
        <f t="shared" si="0"/>
        <v>#N/A</v>
      </c>
      <c r="C35" s="143" t="e">
        <f t="shared" si="1"/>
        <v>#N/A</v>
      </c>
      <c r="D35" s="143" t="e">
        <f t="shared" si="2"/>
        <v>#N/A</v>
      </c>
      <c r="E35" s="143" t="e">
        <f t="shared" si="3"/>
        <v>#N/A</v>
      </c>
      <c r="F35" s="143" t="e">
        <f t="shared" si="4"/>
        <v>#N/A</v>
      </c>
      <c r="G35" s="144" t="e">
        <f t="shared" si="5"/>
        <v>#N/A</v>
      </c>
      <c r="H35" s="142" t="e">
        <f t="shared" si="6"/>
        <v>#N/A</v>
      </c>
      <c r="I35" s="143" t="e">
        <f t="shared" si="7"/>
        <v>#N/A</v>
      </c>
      <c r="J35" s="143" t="e">
        <f t="shared" si="8"/>
        <v>#N/A</v>
      </c>
      <c r="K35" s="143" t="e">
        <f t="shared" si="9"/>
        <v>#N/A</v>
      </c>
      <c r="L35" s="143" t="e">
        <f t="shared" si="10"/>
        <v>#N/A</v>
      </c>
      <c r="M35" s="144" t="e">
        <f t="shared" si="11"/>
        <v>#N/A</v>
      </c>
    </row>
    <row r="36" spans="1:13" x14ac:dyDescent="0.25">
      <c r="A36" s="20" t="e">
        <f t="shared" si="12"/>
        <v>#N/A</v>
      </c>
      <c r="B36" s="142" t="e">
        <f t="shared" ref="B36:B67" si="13">IF(Load_Case=1,(FA_SUS*1000/(2*3.14*A36*0.001*0.5)),NA())</f>
        <v>#N/A</v>
      </c>
      <c r="C36" s="143" t="e">
        <f t="shared" ref="C36:C67" si="14">IF(Load_Case=1,((FL_SUS*H_Trunnion)/(3.14*((A36*0.5)*0.001)^2)),NA())</f>
        <v>#N/A</v>
      </c>
      <c r="D36" s="143" t="e">
        <f t="shared" ref="D36:D67" si="15">IF(Load_Case=1,((FC_SUS*H_Trunnion)/(3.14*((A36*0.5)*0.001)^2)),NA())</f>
        <v>#N/A</v>
      </c>
      <c r="E36" s="143" t="e">
        <f t="shared" ref="E36:E67" si="16">1.5*B36+SQRT(C36^2+(D36*1.5)^2)</f>
        <v>#N/A</v>
      </c>
      <c r="F36" s="143" t="e">
        <f t="shared" ref="F36:F67" si="17">IF(SL_Trunnion,(1.17*E36*SQRT(0.5*D*0.001))*0.000001/((tnet_TRUNNION*0.001)^1.5),NA())</f>
        <v>#N/A</v>
      </c>
      <c r="G36" s="144" t="e">
        <f t="shared" ref="G36:G67" si="18">IF(SC_Trunnion,(0.643*E36*SQRT((D*0.5)*0.001))*0.000001/((tnet_TRUNNION*0.001)^1.5),NA())</f>
        <v>#N/A</v>
      </c>
      <c r="H36" s="142" t="e">
        <f t="shared" ref="H36:H67" si="19">IF(Load_Case=2,(FA_EXP*1000/(2*3.14*A36*0.001*0.5)),NA())</f>
        <v>#N/A</v>
      </c>
      <c r="I36" s="143" t="e">
        <f t="shared" ref="I36:I67" si="20">IF(Load_Case=2,((FL_EXP*H_Trunnion)/(3.14*((A36*0.5)*0.001)^2)),NA())</f>
        <v>#N/A</v>
      </c>
      <c r="J36" s="143" t="e">
        <f t="shared" ref="J36:J67" si="21">IF(Load_Case=2,((FC_EXP*H_Trunnion)/(3.14*((A36*0.5)*0.001)^2)),NA())</f>
        <v>#N/A</v>
      </c>
      <c r="K36" s="143" t="e">
        <f t="shared" ref="K36:K67" si="22">1.5*H36+SQRT(I36^2+(J36*1.5)^2)</f>
        <v>#N/A</v>
      </c>
      <c r="L36" s="143" t="e">
        <f t="shared" ref="L36:L67" si="23">IF(SL_Trunnion,(1.17*K36*SQRT(0.5*D*0.001))*0.000001/((tnet_TRUNNION*0.001)^1.5),NA())</f>
        <v>#N/A</v>
      </c>
      <c r="M36" s="144" t="e">
        <f t="shared" ref="M36:M67" si="24">IF(SC_Trunnion,(0.643*K36*SQRT((D*0.5)*0.001))*0.000001/((tnet_TRUNNION*0.001)^1.5),NA())</f>
        <v>#N/A</v>
      </c>
    </row>
    <row r="37" spans="1:13" x14ac:dyDescent="0.25">
      <c r="A37" s="20" t="e">
        <f t="shared" ref="A37:A68" si="25">IF((A36+d_Trunnion_Increment)&gt;Max_Trunnion_diameter,NA(),A36+d_Trunnion_Increment)</f>
        <v>#N/A</v>
      </c>
      <c r="B37" s="142" t="e">
        <f t="shared" si="13"/>
        <v>#N/A</v>
      </c>
      <c r="C37" s="143" t="e">
        <f t="shared" si="14"/>
        <v>#N/A</v>
      </c>
      <c r="D37" s="143" t="e">
        <f t="shared" si="15"/>
        <v>#N/A</v>
      </c>
      <c r="E37" s="143" t="e">
        <f t="shared" si="16"/>
        <v>#N/A</v>
      </c>
      <c r="F37" s="143" t="e">
        <f t="shared" si="17"/>
        <v>#N/A</v>
      </c>
      <c r="G37" s="144" t="e">
        <f t="shared" si="18"/>
        <v>#N/A</v>
      </c>
      <c r="H37" s="142" t="e">
        <f t="shared" si="19"/>
        <v>#N/A</v>
      </c>
      <c r="I37" s="143" t="e">
        <f t="shared" si="20"/>
        <v>#N/A</v>
      </c>
      <c r="J37" s="143" t="e">
        <f t="shared" si="21"/>
        <v>#N/A</v>
      </c>
      <c r="K37" s="143" t="e">
        <f t="shared" si="22"/>
        <v>#N/A</v>
      </c>
      <c r="L37" s="143" t="e">
        <f t="shared" si="23"/>
        <v>#N/A</v>
      </c>
      <c r="M37" s="144" t="e">
        <f t="shared" si="24"/>
        <v>#N/A</v>
      </c>
    </row>
    <row r="38" spans="1:13" x14ac:dyDescent="0.25">
      <c r="A38" s="20" t="e">
        <f t="shared" si="25"/>
        <v>#N/A</v>
      </c>
      <c r="B38" s="142" t="e">
        <f t="shared" si="13"/>
        <v>#N/A</v>
      </c>
      <c r="C38" s="143" t="e">
        <f t="shared" si="14"/>
        <v>#N/A</v>
      </c>
      <c r="D38" s="143" t="e">
        <f t="shared" si="15"/>
        <v>#N/A</v>
      </c>
      <c r="E38" s="143" t="e">
        <f t="shared" si="16"/>
        <v>#N/A</v>
      </c>
      <c r="F38" s="143" t="e">
        <f t="shared" si="17"/>
        <v>#N/A</v>
      </c>
      <c r="G38" s="144" t="e">
        <f t="shared" si="18"/>
        <v>#N/A</v>
      </c>
      <c r="H38" s="142" t="e">
        <f t="shared" si="19"/>
        <v>#N/A</v>
      </c>
      <c r="I38" s="143" t="e">
        <f t="shared" si="20"/>
        <v>#N/A</v>
      </c>
      <c r="J38" s="143" t="e">
        <f t="shared" si="21"/>
        <v>#N/A</v>
      </c>
      <c r="K38" s="143" t="e">
        <f t="shared" si="22"/>
        <v>#N/A</v>
      </c>
      <c r="L38" s="143" t="e">
        <f t="shared" si="23"/>
        <v>#N/A</v>
      </c>
      <c r="M38" s="144" t="e">
        <f t="shared" si="24"/>
        <v>#N/A</v>
      </c>
    </row>
    <row r="39" spans="1:13" x14ac:dyDescent="0.25">
      <c r="A39" s="20" t="e">
        <f t="shared" si="25"/>
        <v>#N/A</v>
      </c>
      <c r="B39" s="142" t="e">
        <f t="shared" si="13"/>
        <v>#N/A</v>
      </c>
      <c r="C39" s="143" t="e">
        <f t="shared" si="14"/>
        <v>#N/A</v>
      </c>
      <c r="D39" s="143" t="e">
        <f t="shared" si="15"/>
        <v>#N/A</v>
      </c>
      <c r="E39" s="143" t="e">
        <f t="shared" si="16"/>
        <v>#N/A</v>
      </c>
      <c r="F39" s="143" t="e">
        <f t="shared" si="17"/>
        <v>#N/A</v>
      </c>
      <c r="G39" s="144" t="e">
        <f t="shared" si="18"/>
        <v>#N/A</v>
      </c>
      <c r="H39" s="142" t="e">
        <f t="shared" si="19"/>
        <v>#N/A</v>
      </c>
      <c r="I39" s="143" t="e">
        <f t="shared" si="20"/>
        <v>#N/A</v>
      </c>
      <c r="J39" s="143" t="e">
        <f t="shared" si="21"/>
        <v>#N/A</v>
      </c>
      <c r="K39" s="143" t="e">
        <f t="shared" si="22"/>
        <v>#N/A</v>
      </c>
      <c r="L39" s="143" t="e">
        <f t="shared" si="23"/>
        <v>#N/A</v>
      </c>
      <c r="M39" s="144" t="e">
        <f t="shared" si="24"/>
        <v>#N/A</v>
      </c>
    </row>
    <row r="40" spans="1:13" x14ac:dyDescent="0.25">
      <c r="A40" s="20" t="e">
        <f t="shared" si="25"/>
        <v>#N/A</v>
      </c>
      <c r="B40" s="142" t="e">
        <f t="shared" si="13"/>
        <v>#N/A</v>
      </c>
      <c r="C40" s="143" t="e">
        <f t="shared" si="14"/>
        <v>#N/A</v>
      </c>
      <c r="D40" s="143" t="e">
        <f t="shared" si="15"/>
        <v>#N/A</v>
      </c>
      <c r="E40" s="143" t="e">
        <f t="shared" si="16"/>
        <v>#N/A</v>
      </c>
      <c r="F40" s="143" t="e">
        <f t="shared" si="17"/>
        <v>#N/A</v>
      </c>
      <c r="G40" s="144" t="e">
        <f t="shared" si="18"/>
        <v>#N/A</v>
      </c>
      <c r="H40" s="142" t="e">
        <f t="shared" si="19"/>
        <v>#N/A</v>
      </c>
      <c r="I40" s="143" t="e">
        <f t="shared" si="20"/>
        <v>#N/A</v>
      </c>
      <c r="J40" s="143" t="e">
        <f t="shared" si="21"/>
        <v>#N/A</v>
      </c>
      <c r="K40" s="143" t="e">
        <f t="shared" si="22"/>
        <v>#N/A</v>
      </c>
      <c r="L40" s="143" t="e">
        <f t="shared" si="23"/>
        <v>#N/A</v>
      </c>
      <c r="M40" s="144" t="e">
        <f t="shared" si="24"/>
        <v>#N/A</v>
      </c>
    </row>
    <row r="41" spans="1:13" x14ac:dyDescent="0.25">
      <c r="A41" s="20" t="e">
        <f t="shared" si="25"/>
        <v>#N/A</v>
      </c>
      <c r="B41" s="142" t="e">
        <f t="shared" si="13"/>
        <v>#N/A</v>
      </c>
      <c r="C41" s="143" t="e">
        <f t="shared" si="14"/>
        <v>#N/A</v>
      </c>
      <c r="D41" s="143" t="e">
        <f t="shared" si="15"/>
        <v>#N/A</v>
      </c>
      <c r="E41" s="143" t="e">
        <f t="shared" si="16"/>
        <v>#N/A</v>
      </c>
      <c r="F41" s="143" t="e">
        <f t="shared" si="17"/>
        <v>#N/A</v>
      </c>
      <c r="G41" s="144" t="e">
        <f t="shared" si="18"/>
        <v>#N/A</v>
      </c>
      <c r="H41" s="142" t="e">
        <f t="shared" si="19"/>
        <v>#N/A</v>
      </c>
      <c r="I41" s="143" t="e">
        <f t="shared" si="20"/>
        <v>#N/A</v>
      </c>
      <c r="J41" s="143" t="e">
        <f t="shared" si="21"/>
        <v>#N/A</v>
      </c>
      <c r="K41" s="143" t="e">
        <f t="shared" si="22"/>
        <v>#N/A</v>
      </c>
      <c r="L41" s="143" t="e">
        <f t="shared" si="23"/>
        <v>#N/A</v>
      </c>
      <c r="M41" s="144" t="e">
        <f t="shared" si="24"/>
        <v>#N/A</v>
      </c>
    </row>
    <row r="42" spans="1:13" x14ac:dyDescent="0.25">
      <c r="A42" s="20" t="e">
        <f t="shared" si="25"/>
        <v>#N/A</v>
      </c>
      <c r="B42" s="142" t="e">
        <f t="shared" si="13"/>
        <v>#N/A</v>
      </c>
      <c r="C42" s="143" t="e">
        <f t="shared" si="14"/>
        <v>#N/A</v>
      </c>
      <c r="D42" s="143" t="e">
        <f t="shared" si="15"/>
        <v>#N/A</v>
      </c>
      <c r="E42" s="143" t="e">
        <f t="shared" si="16"/>
        <v>#N/A</v>
      </c>
      <c r="F42" s="143" t="e">
        <f t="shared" si="17"/>
        <v>#N/A</v>
      </c>
      <c r="G42" s="144" t="e">
        <f t="shared" si="18"/>
        <v>#N/A</v>
      </c>
      <c r="H42" s="142" t="e">
        <f t="shared" si="19"/>
        <v>#N/A</v>
      </c>
      <c r="I42" s="143" t="e">
        <f t="shared" si="20"/>
        <v>#N/A</v>
      </c>
      <c r="J42" s="143" t="e">
        <f t="shared" si="21"/>
        <v>#N/A</v>
      </c>
      <c r="K42" s="143" t="e">
        <f t="shared" si="22"/>
        <v>#N/A</v>
      </c>
      <c r="L42" s="143" t="e">
        <f t="shared" si="23"/>
        <v>#N/A</v>
      </c>
      <c r="M42" s="144" t="e">
        <f t="shared" si="24"/>
        <v>#N/A</v>
      </c>
    </row>
    <row r="43" spans="1:13" x14ac:dyDescent="0.25">
      <c r="A43" s="20" t="e">
        <f t="shared" si="25"/>
        <v>#N/A</v>
      </c>
      <c r="B43" s="142" t="e">
        <f t="shared" si="13"/>
        <v>#N/A</v>
      </c>
      <c r="C43" s="143" t="e">
        <f t="shared" si="14"/>
        <v>#N/A</v>
      </c>
      <c r="D43" s="143" t="e">
        <f t="shared" si="15"/>
        <v>#N/A</v>
      </c>
      <c r="E43" s="143" t="e">
        <f t="shared" si="16"/>
        <v>#N/A</v>
      </c>
      <c r="F43" s="143" t="e">
        <f t="shared" si="17"/>
        <v>#N/A</v>
      </c>
      <c r="G43" s="144" t="e">
        <f t="shared" si="18"/>
        <v>#N/A</v>
      </c>
      <c r="H43" s="142" t="e">
        <f t="shared" si="19"/>
        <v>#N/A</v>
      </c>
      <c r="I43" s="143" t="e">
        <f t="shared" si="20"/>
        <v>#N/A</v>
      </c>
      <c r="J43" s="143" t="e">
        <f t="shared" si="21"/>
        <v>#N/A</v>
      </c>
      <c r="K43" s="143" t="e">
        <f t="shared" si="22"/>
        <v>#N/A</v>
      </c>
      <c r="L43" s="143" t="e">
        <f t="shared" si="23"/>
        <v>#N/A</v>
      </c>
      <c r="M43" s="144" t="e">
        <f t="shared" si="24"/>
        <v>#N/A</v>
      </c>
    </row>
    <row r="44" spans="1:13" x14ac:dyDescent="0.25">
      <c r="A44" s="20" t="e">
        <f t="shared" si="25"/>
        <v>#N/A</v>
      </c>
      <c r="B44" s="142" t="e">
        <f t="shared" si="13"/>
        <v>#N/A</v>
      </c>
      <c r="C44" s="143" t="e">
        <f t="shared" si="14"/>
        <v>#N/A</v>
      </c>
      <c r="D44" s="143" t="e">
        <f t="shared" si="15"/>
        <v>#N/A</v>
      </c>
      <c r="E44" s="143" t="e">
        <f t="shared" si="16"/>
        <v>#N/A</v>
      </c>
      <c r="F44" s="143" t="e">
        <f t="shared" si="17"/>
        <v>#N/A</v>
      </c>
      <c r="G44" s="144" t="e">
        <f t="shared" si="18"/>
        <v>#N/A</v>
      </c>
      <c r="H44" s="142" t="e">
        <f t="shared" si="19"/>
        <v>#N/A</v>
      </c>
      <c r="I44" s="143" t="e">
        <f t="shared" si="20"/>
        <v>#N/A</v>
      </c>
      <c r="J44" s="143" t="e">
        <f t="shared" si="21"/>
        <v>#N/A</v>
      </c>
      <c r="K44" s="143" t="e">
        <f t="shared" si="22"/>
        <v>#N/A</v>
      </c>
      <c r="L44" s="143" t="e">
        <f t="shared" si="23"/>
        <v>#N/A</v>
      </c>
      <c r="M44" s="144" t="e">
        <f t="shared" si="24"/>
        <v>#N/A</v>
      </c>
    </row>
    <row r="45" spans="1:13" x14ac:dyDescent="0.25">
      <c r="A45" s="20" t="e">
        <f t="shared" si="25"/>
        <v>#N/A</v>
      </c>
      <c r="B45" s="142" t="e">
        <f t="shared" si="13"/>
        <v>#N/A</v>
      </c>
      <c r="C45" s="143" t="e">
        <f t="shared" si="14"/>
        <v>#N/A</v>
      </c>
      <c r="D45" s="143" t="e">
        <f t="shared" si="15"/>
        <v>#N/A</v>
      </c>
      <c r="E45" s="143" t="e">
        <f t="shared" si="16"/>
        <v>#N/A</v>
      </c>
      <c r="F45" s="143" t="e">
        <f t="shared" si="17"/>
        <v>#N/A</v>
      </c>
      <c r="G45" s="144" t="e">
        <f t="shared" si="18"/>
        <v>#N/A</v>
      </c>
      <c r="H45" s="142" t="e">
        <f t="shared" si="19"/>
        <v>#N/A</v>
      </c>
      <c r="I45" s="143" t="e">
        <f t="shared" si="20"/>
        <v>#N/A</v>
      </c>
      <c r="J45" s="143" t="e">
        <f t="shared" si="21"/>
        <v>#N/A</v>
      </c>
      <c r="K45" s="143" t="e">
        <f t="shared" si="22"/>
        <v>#N/A</v>
      </c>
      <c r="L45" s="143" t="e">
        <f t="shared" si="23"/>
        <v>#N/A</v>
      </c>
      <c r="M45" s="144" t="e">
        <f t="shared" si="24"/>
        <v>#N/A</v>
      </c>
    </row>
    <row r="46" spans="1:13" x14ac:dyDescent="0.25">
      <c r="A46" s="20" t="e">
        <f t="shared" si="25"/>
        <v>#N/A</v>
      </c>
      <c r="B46" s="142" t="e">
        <f t="shared" si="13"/>
        <v>#N/A</v>
      </c>
      <c r="C46" s="143" t="e">
        <f t="shared" si="14"/>
        <v>#N/A</v>
      </c>
      <c r="D46" s="143" t="e">
        <f t="shared" si="15"/>
        <v>#N/A</v>
      </c>
      <c r="E46" s="143" t="e">
        <f t="shared" si="16"/>
        <v>#N/A</v>
      </c>
      <c r="F46" s="143" t="e">
        <f t="shared" si="17"/>
        <v>#N/A</v>
      </c>
      <c r="G46" s="144" t="e">
        <f t="shared" si="18"/>
        <v>#N/A</v>
      </c>
      <c r="H46" s="142" t="e">
        <f t="shared" si="19"/>
        <v>#N/A</v>
      </c>
      <c r="I46" s="143" t="e">
        <f t="shared" si="20"/>
        <v>#N/A</v>
      </c>
      <c r="J46" s="143" t="e">
        <f t="shared" si="21"/>
        <v>#N/A</v>
      </c>
      <c r="K46" s="143" t="e">
        <f t="shared" si="22"/>
        <v>#N/A</v>
      </c>
      <c r="L46" s="143" t="e">
        <f t="shared" si="23"/>
        <v>#N/A</v>
      </c>
      <c r="M46" s="144" t="e">
        <f t="shared" si="24"/>
        <v>#N/A</v>
      </c>
    </row>
    <row r="47" spans="1:13" x14ac:dyDescent="0.25">
      <c r="A47" s="20" t="e">
        <f t="shared" si="25"/>
        <v>#N/A</v>
      </c>
      <c r="B47" s="142" t="e">
        <f t="shared" si="13"/>
        <v>#N/A</v>
      </c>
      <c r="C47" s="143" t="e">
        <f t="shared" si="14"/>
        <v>#N/A</v>
      </c>
      <c r="D47" s="143" t="e">
        <f t="shared" si="15"/>
        <v>#N/A</v>
      </c>
      <c r="E47" s="143" t="e">
        <f t="shared" si="16"/>
        <v>#N/A</v>
      </c>
      <c r="F47" s="143" t="e">
        <f t="shared" si="17"/>
        <v>#N/A</v>
      </c>
      <c r="G47" s="144" t="e">
        <f t="shared" si="18"/>
        <v>#N/A</v>
      </c>
      <c r="H47" s="142" t="e">
        <f t="shared" si="19"/>
        <v>#N/A</v>
      </c>
      <c r="I47" s="143" t="e">
        <f t="shared" si="20"/>
        <v>#N/A</v>
      </c>
      <c r="J47" s="143" t="e">
        <f t="shared" si="21"/>
        <v>#N/A</v>
      </c>
      <c r="K47" s="143" t="e">
        <f t="shared" si="22"/>
        <v>#N/A</v>
      </c>
      <c r="L47" s="143" t="e">
        <f t="shared" si="23"/>
        <v>#N/A</v>
      </c>
      <c r="M47" s="144" t="e">
        <f t="shared" si="24"/>
        <v>#N/A</v>
      </c>
    </row>
    <row r="48" spans="1:13" x14ac:dyDescent="0.25">
      <c r="A48" s="20" t="e">
        <f t="shared" si="25"/>
        <v>#N/A</v>
      </c>
      <c r="B48" s="142" t="e">
        <f t="shared" si="13"/>
        <v>#N/A</v>
      </c>
      <c r="C48" s="143" t="e">
        <f t="shared" si="14"/>
        <v>#N/A</v>
      </c>
      <c r="D48" s="143" t="e">
        <f t="shared" si="15"/>
        <v>#N/A</v>
      </c>
      <c r="E48" s="143" t="e">
        <f t="shared" si="16"/>
        <v>#N/A</v>
      </c>
      <c r="F48" s="143" t="e">
        <f t="shared" si="17"/>
        <v>#N/A</v>
      </c>
      <c r="G48" s="144" t="e">
        <f t="shared" si="18"/>
        <v>#N/A</v>
      </c>
      <c r="H48" s="142" t="e">
        <f t="shared" si="19"/>
        <v>#N/A</v>
      </c>
      <c r="I48" s="143" t="e">
        <f t="shared" si="20"/>
        <v>#N/A</v>
      </c>
      <c r="J48" s="143" t="e">
        <f t="shared" si="21"/>
        <v>#N/A</v>
      </c>
      <c r="K48" s="143" t="e">
        <f t="shared" si="22"/>
        <v>#N/A</v>
      </c>
      <c r="L48" s="143" t="e">
        <f t="shared" si="23"/>
        <v>#N/A</v>
      </c>
      <c r="M48" s="144" t="e">
        <f t="shared" si="24"/>
        <v>#N/A</v>
      </c>
    </row>
    <row r="49" spans="1:13" x14ac:dyDescent="0.25">
      <c r="A49" s="20" t="e">
        <f t="shared" si="25"/>
        <v>#N/A</v>
      </c>
      <c r="B49" s="142" t="e">
        <f t="shared" si="13"/>
        <v>#N/A</v>
      </c>
      <c r="C49" s="143" t="e">
        <f t="shared" si="14"/>
        <v>#N/A</v>
      </c>
      <c r="D49" s="143" t="e">
        <f t="shared" si="15"/>
        <v>#N/A</v>
      </c>
      <c r="E49" s="143" t="e">
        <f t="shared" si="16"/>
        <v>#N/A</v>
      </c>
      <c r="F49" s="143" t="e">
        <f t="shared" si="17"/>
        <v>#N/A</v>
      </c>
      <c r="G49" s="144" t="e">
        <f t="shared" si="18"/>
        <v>#N/A</v>
      </c>
      <c r="H49" s="142" t="e">
        <f t="shared" si="19"/>
        <v>#N/A</v>
      </c>
      <c r="I49" s="143" t="e">
        <f t="shared" si="20"/>
        <v>#N/A</v>
      </c>
      <c r="J49" s="143" t="e">
        <f t="shared" si="21"/>
        <v>#N/A</v>
      </c>
      <c r="K49" s="143" t="e">
        <f t="shared" si="22"/>
        <v>#N/A</v>
      </c>
      <c r="L49" s="143" t="e">
        <f t="shared" si="23"/>
        <v>#N/A</v>
      </c>
      <c r="M49" s="144" t="e">
        <f t="shared" si="24"/>
        <v>#N/A</v>
      </c>
    </row>
    <row r="50" spans="1:13" x14ac:dyDescent="0.25">
      <c r="A50" s="20" t="e">
        <f t="shared" si="25"/>
        <v>#N/A</v>
      </c>
      <c r="B50" s="142" t="e">
        <f t="shared" si="13"/>
        <v>#N/A</v>
      </c>
      <c r="C50" s="143" t="e">
        <f t="shared" si="14"/>
        <v>#N/A</v>
      </c>
      <c r="D50" s="143" t="e">
        <f t="shared" si="15"/>
        <v>#N/A</v>
      </c>
      <c r="E50" s="143" t="e">
        <f t="shared" si="16"/>
        <v>#N/A</v>
      </c>
      <c r="F50" s="143" t="e">
        <f t="shared" si="17"/>
        <v>#N/A</v>
      </c>
      <c r="G50" s="144" t="e">
        <f t="shared" si="18"/>
        <v>#N/A</v>
      </c>
      <c r="H50" s="142" t="e">
        <f t="shared" si="19"/>
        <v>#N/A</v>
      </c>
      <c r="I50" s="143" t="e">
        <f t="shared" si="20"/>
        <v>#N/A</v>
      </c>
      <c r="J50" s="143" t="e">
        <f t="shared" si="21"/>
        <v>#N/A</v>
      </c>
      <c r="K50" s="143" t="e">
        <f t="shared" si="22"/>
        <v>#N/A</v>
      </c>
      <c r="L50" s="143" t="e">
        <f t="shared" si="23"/>
        <v>#N/A</v>
      </c>
      <c r="M50" s="144" t="e">
        <f t="shared" si="24"/>
        <v>#N/A</v>
      </c>
    </row>
    <row r="51" spans="1:13" x14ac:dyDescent="0.25">
      <c r="A51" s="20" t="e">
        <f t="shared" si="25"/>
        <v>#N/A</v>
      </c>
      <c r="B51" s="142" t="e">
        <f t="shared" si="13"/>
        <v>#N/A</v>
      </c>
      <c r="C51" s="143" t="e">
        <f t="shared" si="14"/>
        <v>#N/A</v>
      </c>
      <c r="D51" s="143" t="e">
        <f t="shared" si="15"/>
        <v>#N/A</v>
      </c>
      <c r="E51" s="143" t="e">
        <f t="shared" si="16"/>
        <v>#N/A</v>
      </c>
      <c r="F51" s="143" t="e">
        <f t="shared" si="17"/>
        <v>#N/A</v>
      </c>
      <c r="G51" s="144" t="e">
        <f t="shared" si="18"/>
        <v>#N/A</v>
      </c>
      <c r="H51" s="142" t="e">
        <f t="shared" si="19"/>
        <v>#N/A</v>
      </c>
      <c r="I51" s="143" t="e">
        <f t="shared" si="20"/>
        <v>#N/A</v>
      </c>
      <c r="J51" s="143" t="e">
        <f t="shared" si="21"/>
        <v>#N/A</v>
      </c>
      <c r="K51" s="143" t="e">
        <f t="shared" si="22"/>
        <v>#N/A</v>
      </c>
      <c r="L51" s="143" t="e">
        <f t="shared" si="23"/>
        <v>#N/A</v>
      </c>
      <c r="M51" s="144" t="e">
        <f t="shared" si="24"/>
        <v>#N/A</v>
      </c>
    </row>
    <row r="52" spans="1:13" x14ac:dyDescent="0.25">
      <c r="A52" s="20" t="e">
        <f t="shared" si="25"/>
        <v>#N/A</v>
      </c>
      <c r="B52" s="142" t="e">
        <f t="shared" si="13"/>
        <v>#N/A</v>
      </c>
      <c r="C52" s="143" t="e">
        <f t="shared" si="14"/>
        <v>#N/A</v>
      </c>
      <c r="D52" s="143" t="e">
        <f t="shared" si="15"/>
        <v>#N/A</v>
      </c>
      <c r="E52" s="143" t="e">
        <f t="shared" si="16"/>
        <v>#N/A</v>
      </c>
      <c r="F52" s="143" t="e">
        <f t="shared" si="17"/>
        <v>#N/A</v>
      </c>
      <c r="G52" s="144" t="e">
        <f t="shared" si="18"/>
        <v>#N/A</v>
      </c>
      <c r="H52" s="142" t="e">
        <f t="shared" si="19"/>
        <v>#N/A</v>
      </c>
      <c r="I52" s="143" t="e">
        <f t="shared" si="20"/>
        <v>#N/A</v>
      </c>
      <c r="J52" s="143" t="e">
        <f t="shared" si="21"/>
        <v>#N/A</v>
      </c>
      <c r="K52" s="143" t="e">
        <f t="shared" si="22"/>
        <v>#N/A</v>
      </c>
      <c r="L52" s="143" t="e">
        <f t="shared" si="23"/>
        <v>#N/A</v>
      </c>
      <c r="M52" s="144" t="e">
        <f t="shared" si="24"/>
        <v>#N/A</v>
      </c>
    </row>
    <row r="53" spans="1:13" x14ac:dyDescent="0.25">
      <c r="A53" s="20" t="e">
        <f t="shared" si="25"/>
        <v>#N/A</v>
      </c>
      <c r="B53" s="142" t="e">
        <f t="shared" si="13"/>
        <v>#N/A</v>
      </c>
      <c r="C53" s="143" t="e">
        <f t="shared" si="14"/>
        <v>#N/A</v>
      </c>
      <c r="D53" s="143" t="e">
        <f t="shared" si="15"/>
        <v>#N/A</v>
      </c>
      <c r="E53" s="143" t="e">
        <f t="shared" si="16"/>
        <v>#N/A</v>
      </c>
      <c r="F53" s="143" t="e">
        <f t="shared" si="17"/>
        <v>#N/A</v>
      </c>
      <c r="G53" s="144" t="e">
        <f t="shared" si="18"/>
        <v>#N/A</v>
      </c>
      <c r="H53" s="142" t="e">
        <f t="shared" si="19"/>
        <v>#N/A</v>
      </c>
      <c r="I53" s="143" t="e">
        <f t="shared" si="20"/>
        <v>#N/A</v>
      </c>
      <c r="J53" s="143" t="e">
        <f t="shared" si="21"/>
        <v>#N/A</v>
      </c>
      <c r="K53" s="143" t="e">
        <f t="shared" si="22"/>
        <v>#N/A</v>
      </c>
      <c r="L53" s="143" t="e">
        <f t="shared" si="23"/>
        <v>#N/A</v>
      </c>
      <c r="M53" s="144" t="e">
        <f t="shared" si="24"/>
        <v>#N/A</v>
      </c>
    </row>
    <row r="54" spans="1:13" x14ac:dyDescent="0.25">
      <c r="A54" s="20" t="e">
        <f t="shared" si="25"/>
        <v>#N/A</v>
      </c>
      <c r="B54" s="142" t="e">
        <f t="shared" si="13"/>
        <v>#N/A</v>
      </c>
      <c r="C54" s="143" t="e">
        <f t="shared" si="14"/>
        <v>#N/A</v>
      </c>
      <c r="D54" s="143" t="e">
        <f t="shared" si="15"/>
        <v>#N/A</v>
      </c>
      <c r="E54" s="143" t="e">
        <f t="shared" si="16"/>
        <v>#N/A</v>
      </c>
      <c r="F54" s="143" t="e">
        <f t="shared" si="17"/>
        <v>#N/A</v>
      </c>
      <c r="G54" s="144" t="e">
        <f t="shared" si="18"/>
        <v>#N/A</v>
      </c>
      <c r="H54" s="142" t="e">
        <f t="shared" si="19"/>
        <v>#N/A</v>
      </c>
      <c r="I54" s="143" t="e">
        <f t="shared" si="20"/>
        <v>#N/A</v>
      </c>
      <c r="J54" s="143" t="e">
        <f t="shared" si="21"/>
        <v>#N/A</v>
      </c>
      <c r="K54" s="143" t="e">
        <f t="shared" si="22"/>
        <v>#N/A</v>
      </c>
      <c r="L54" s="143" t="e">
        <f t="shared" si="23"/>
        <v>#N/A</v>
      </c>
      <c r="M54" s="144" t="e">
        <f t="shared" si="24"/>
        <v>#N/A</v>
      </c>
    </row>
    <row r="55" spans="1:13" x14ac:dyDescent="0.25">
      <c r="A55" s="20" t="e">
        <f t="shared" si="25"/>
        <v>#N/A</v>
      </c>
      <c r="B55" s="142" t="e">
        <f t="shared" si="13"/>
        <v>#N/A</v>
      </c>
      <c r="C55" s="143" t="e">
        <f t="shared" si="14"/>
        <v>#N/A</v>
      </c>
      <c r="D55" s="143" t="e">
        <f t="shared" si="15"/>
        <v>#N/A</v>
      </c>
      <c r="E55" s="143" t="e">
        <f t="shared" si="16"/>
        <v>#N/A</v>
      </c>
      <c r="F55" s="143" t="e">
        <f t="shared" si="17"/>
        <v>#N/A</v>
      </c>
      <c r="G55" s="144" t="e">
        <f t="shared" si="18"/>
        <v>#N/A</v>
      </c>
      <c r="H55" s="142" t="e">
        <f t="shared" si="19"/>
        <v>#N/A</v>
      </c>
      <c r="I55" s="143" t="e">
        <f t="shared" si="20"/>
        <v>#N/A</v>
      </c>
      <c r="J55" s="143" t="e">
        <f t="shared" si="21"/>
        <v>#N/A</v>
      </c>
      <c r="K55" s="143" t="e">
        <f t="shared" si="22"/>
        <v>#N/A</v>
      </c>
      <c r="L55" s="143" t="e">
        <f t="shared" si="23"/>
        <v>#N/A</v>
      </c>
      <c r="M55" s="144" t="e">
        <f t="shared" si="24"/>
        <v>#N/A</v>
      </c>
    </row>
    <row r="56" spans="1:13" x14ac:dyDescent="0.25">
      <c r="A56" s="20" t="e">
        <f t="shared" si="25"/>
        <v>#N/A</v>
      </c>
      <c r="B56" s="142" t="e">
        <f t="shared" si="13"/>
        <v>#N/A</v>
      </c>
      <c r="C56" s="143" t="e">
        <f t="shared" si="14"/>
        <v>#N/A</v>
      </c>
      <c r="D56" s="143" t="e">
        <f t="shared" si="15"/>
        <v>#N/A</v>
      </c>
      <c r="E56" s="143" t="e">
        <f t="shared" si="16"/>
        <v>#N/A</v>
      </c>
      <c r="F56" s="143" t="e">
        <f t="shared" si="17"/>
        <v>#N/A</v>
      </c>
      <c r="G56" s="144" t="e">
        <f t="shared" si="18"/>
        <v>#N/A</v>
      </c>
      <c r="H56" s="142" t="e">
        <f t="shared" si="19"/>
        <v>#N/A</v>
      </c>
      <c r="I56" s="143" t="e">
        <f t="shared" si="20"/>
        <v>#N/A</v>
      </c>
      <c r="J56" s="143" t="e">
        <f t="shared" si="21"/>
        <v>#N/A</v>
      </c>
      <c r="K56" s="143" t="e">
        <f t="shared" si="22"/>
        <v>#N/A</v>
      </c>
      <c r="L56" s="143" t="e">
        <f t="shared" si="23"/>
        <v>#N/A</v>
      </c>
      <c r="M56" s="144" t="e">
        <f t="shared" si="24"/>
        <v>#N/A</v>
      </c>
    </row>
    <row r="57" spans="1:13" x14ac:dyDescent="0.25">
      <c r="A57" s="20" t="e">
        <f t="shared" si="25"/>
        <v>#N/A</v>
      </c>
      <c r="B57" s="142" t="e">
        <f t="shared" si="13"/>
        <v>#N/A</v>
      </c>
      <c r="C57" s="143" t="e">
        <f t="shared" si="14"/>
        <v>#N/A</v>
      </c>
      <c r="D57" s="143" t="e">
        <f t="shared" si="15"/>
        <v>#N/A</v>
      </c>
      <c r="E57" s="143" t="e">
        <f t="shared" si="16"/>
        <v>#N/A</v>
      </c>
      <c r="F57" s="143" t="e">
        <f t="shared" si="17"/>
        <v>#N/A</v>
      </c>
      <c r="G57" s="144" t="e">
        <f t="shared" si="18"/>
        <v>#N/A</v>
      </c>
      <c r="H57" s="142" t="e">
        <f t="shared" si="19"/>
        <v>#N/A</v>
      </c>
      <c r="I57" s="143" t="e">
        <f t="shared" si="20"/>
        <v>#N/A</v>
      </c>
      <c r="J57" s="143" t="e">
        <f t="shared" si="21"/>
        <v>#N/A</v>
      </c>
      <c r="K57" s="143" t="e">
        <f t="shared" si="22"/>
        <v>#N/A</v>
      </c>
      <c r="L57" s="143" t="e">
        <f t="shared" si="23"/>
        <v>#N/A</v>
      </c>
      <c r="M57" s="144" t="e">
        <f t="shared" si="24"/>
        <v>#N/A</v>
      </c>
    </row>
    <row r="58" spans="1:13" x14ac:dyDescent="0.25">
      <c r="A58" s="20" t="e">
        <f t="shared" si="25"/>
        <v>#N/A</v>
      </c>
      <c r="B58" s="142" t="e">
        <f t="shared" si="13"/>
        <v>#N/A</v>
      </c>
      <c r="C58" s="143" t="e">
        <f t="shared" si="14"/>
        <v>#N/A</v>
      </c>
      <c r="D58" s="143" t="e">
        <f t="shared" si="15"/>
        <v>#N/A</v>
      </c>
      <c r="E58" s="143" t="e">
        <f t="shared" si="16"/>
        <v>#N/A</v>
      </c>
      <c r="F58" s="143" t="e">
        <f t="shared" si="17"/>
        <v>#N/A</v>
      </c>
      <c r="G58" s="144" t="e">
        <f t="shared" si="18"/>
        <v>#N/A</v>
      </c>
      <c r="H58" s="142" t="e">
        <f t="shared" si="19"/>
        <v>#N/A</v>
      </c>
      <c r="I58" s="143" t="e">
        <f t="shared" si="20"/>
        <v>#N/A</v>
      </c>
      <c r="J58" s="143" t="e">
        <f t="shared" si="21"/>
        <v>#N/A</v>
      </c>
      <c r="K58" s="143" t="e">
        <f t="shared" si="22"/>
        <v>#N/A</v>
      </c>
      <c r="L58" s="143" t="e">
        <f t="shared" si="23"/>
        <v>#N/A</v>
      </c>
      <c r="M58" s="144" t="e">
        <f t="shared" si="24"/>
        <v>#N/A</v>
      </c>
    </row>
    <row r="59" spans="1:13" x14ac:dyDescent="0.25">
      <c r="A59" s="20" t="e">
        <f t="shared" si="25"/>
        <v>#N/A</v>
      </c>
      <c r="B59" s="142" t="e">
        <f t="shared" si="13"/>
        <v>#N/A</v>
      </c>
      <c r="C59" s="143" t="e">
        <f t="shared" si="14"/>
        <v>#N/A</v>
      </c>
      <c r="D59" s="143" t="e">
        <f t="shared" si="15"/>
        <v>#N/A</v>
      </c>
      <c r="E59" s="143" t="e">
        <f t="shared" si="16"/>
        <v>#N/A</v>
      </c>
      <c r="F59" s="143" t="e">
        <f t="shared" si="17"/>
        <v>#N/A</v>
      </c>
      <c r="G59" s="144" t="e">
        <f t="shared" si="18"/>
        <v>#N/A</v>
      </c>
      <c r="H59" s="142" t="e">
        <f t="shared" si="19"/>
        <v>#N/A</v>
      </c>
      <c r="I59" s="143" t="e">
        <f t="shared" si="20"/>
        <v>#N/A</v>
      </c>
      <c r="J59" s="143" t="e">
        <f t="shared" si="21"/>
        <v>#N/A</v>
      </c>
      <c r="K59" s="143" t="e">
        <f t="shared" si="22"/>
        <v>#N/A</v>
      </c>
      <c r="L59" s="143" t="e">
        <f t="shared" si="23"/>
        <v>#N/A</v>
      </c>
      <c r="M59" s="144" t="e">
        <f t="shared" si="24"/>
        <v>#N/A</v>
      </c>
    </row>
    <row r="60" spans="1:13" x14ac:dyDescent="0.25">
      <c r="A60" s="20" t="e">
        <f t="shared" si="25"/>
        <v>#N/A</v>
      </c>
      <c r="B60" s="142" t="e">
        <f t="shared" si="13"/>
        <v>#N/A</v>
      </c>
      <c r="C60" s="143" t="e">
        <f t="shared" si="14"/>
        <v>#N/A</v>
      </c>
      <c r="D60" s="143" t="e">
        <f t="shared" si="15"/>
        <v>#N/A</v>
      </c>
      <c r="E60" s="143" t="e">
        <f t="shared" si="16"/>
        <v>#N/A</v>
      </c>
      <c r="F60" s="143" t="e">
        <f t="shared" si="17"/>
        <v>#N/A</v>
      </c>
      <c r="G60" s="144" t="e">
        <f t="shared" si="18"/>
        <v>#N/A</v>
      </c>
      <c r="H60" s="142" t="e">
        <f t="shared" si="19"/>
        <v>#N/A</v>
      </c>
      <c r="I60" s="143" t="e">
        <f t="shared" si="20"/>
        <v>#N/A</v>
      </c>
      <c r="J60" s="143" t="e">
        <f t="shared" si="21"/>
        <v>#N/A</v>
      </c>
      <c r="K60" s="143" t="e">
        <f t="shared" si="22"/>
        <v>#N/A</v>
      </c>
      <c r="L60" s="143" t="e">
        <f t="shared" si="23"/>
        <v>#N/A</v>
      </c>
      <c r="M60" s="144" t="e">
        <f t="shared" si="24"/>
        <v>#N/A</v>
      </c>
    </row>
    <row r="61" spans="1:13" x14ac:dyDescent="0.25">
      <c r="A61" s="20" t="e">
        <f t="shared" si="25"/>
        <v>#N/A</v>
      </c>
      <c r="B61" s="142" t="e">
        <f t="shared" si="13"/>
        <v>#N/A</v>
      </c>
      <c r="C61" s="143" t="e">
        <f t="shared" si="14"/>
        <v>#N/A</v>
      </c>
      <c r="D61" s="143" t="e">
        <f t="shared" si="15"/>
        <v>#N/A</v>
      </c>
      <c r="E61" s="143" t="e">
        <f t="shared" si="16"/>
        <v>#N/A</v>
      </c>
      <c r="F61" s="143" t="e">
        <f t="shared" si="17"/>
        <v>#N/A</v>
      </c>
      <c r="G61" s="144" t="e">
        <f t="shared" si="18"/>
        <v>#N/A</v>
      </c>
      <c r="H61" s="142" t="e">
        <f t="shared" si="19"/>
        <v>#N/A</v>
      </c>
      <c r="I61" s="143" t="e">
        <f t="shared" si="20"/>
        <v>#N/A</v>
      </c>
      <c r="J61" s="143" t="e">
        <f t="shared" si="21"/>
        <v>#N/A</v>
      </c>
      <c r="K61" s="143" t="e">
        <f t="shared" si="22"/>
        <v>#N/A</v>
      </c>
      <c r="L61" s="143" t="e">
        <f t="shared" si="23"/>
        <v>#N/A</v>
      </c>
      <c r="M61" s="144" t="e">
        <f t="shared" si="24"/>
        <v>#N/A</v>
      </c>
    </row>
    <row r="62" spans="1:13" x14ac:dyDescent="0.25">
      <c r="A62" s="20" t="e">
        <f t="shared" si="25"/>
        <v>#N/A</v>
      </c>
      <c r="B62" s="142" t="e">
        <f t="shared" si="13"/>
        <v>#N/A</v>
      </c>
      <c r="C62" s="143" t="e">
        <f t="shared" si="14"/>
        <v>#N/A</v>
      </c>
      <c r="D62" s="143" t="e">
        <f t="shared" si="15"/>
        <v>#N/A</v>
      </c>
      <c r="E62" s="143" t="e">
        <f t="shared" si="16"/>
        <v>#N/A</v>
      </c>
      <c r="F62" s="143" t="e">
        <f t="shared" si="17"/>
        <v>#N/A</v>
      </c>
      <c r="G62" s="144" t="e">
        <f t="shared" si="18"/>
        <v>#N/A</v>
      </c>
      <c r="H62" s="142" t="e">
        <f t="shared" si="19"/>
        <v>#N/A</v>
      </c>
      <c r="I62" s="143" t="e">
        <f t="shared" si="20"/>
        <v>#N/A</v>
      </c>
      <c r="J62" s="143" t="e">
        <f t="shared" si="21"/>
        <v>#N/A</v>
      </c>
      <c r="K62" s="143" t="e">
        <f t="shared" si="22"/>
        <v>#N/A</v>
      </c>
      <c r="L62" s="143" t="e">
        <f t="shared" si="23"/>
        <v>#N/A</v>
      </c>
      <c r="M62" s="144" t="e">
        <f t="shared" si="24"/>
        <v>#N/A</v>
      </c>
    </row>
    <row r="63" spans="1:13" x14ac:dyDescent="0.25">
      <c r="A63" s="20" t="e">
        <f t="shared" si="25"/>
        <v>#N/A</v>
      </c>
      <c r="B63" s="142" t="e">
        <f t="shared" si="13"/>
        <v>#N/A</v>
      </c>
      <c r="C63" s="143" t="e">
        <f t="shared" si="14"/>
        <v>#N/A</v>
      </c>
      <c r="D63" s="143" t="e">
        <f t="shared" si="15"/>
        <v>#N/A</v>
      </c>
      <c r="E63" s="143" t="e">
        <f t="shared" si="16"/>
        <v>#N/A</v>
      </c>
      <c r="F63" s="143" t="e">
        <f t="shared" si="17"/>
        <v>#N/A</v>
      </c>
      <c r="G63" s="144" t="e">
        <f t="shared" si="18"/>
        <v>#N/A</v>
      </c>
      <c r="H63" s="142" t="e">
        <f t="shared" si="19"/>
        <v>#N/A</v>
      </c>
      <c r="I63" s="143" t="e">
        <f t="shared" si="20"/>
        <v>#N/A</v>
      </c>
      <c r="J63" s="143" t="e">
        <f t="shared" si="21"/>
        <v>#N/A</v>
      </c>
      <c r="K63" s="143" t="e">
        <f t="shared" si="22"/>
        <v>#N/A</v>
      </c>
      <c r="L63" s="143" t="e">
        <f t="shared" si="23"/>
        <v>#N/A</v>
      </c>
      <c r="M63" s="144" t="e">
        <f t="shared" si="24"/>
        <v>#N/A</v>
      </c>
    </row>
    <row r="64" spans="1:13" x14ac:dyDescent="0.25">
      <c r="A64" s="20" t="e">
        <f t="shared" si="25"/>
        <v>#N/A</v>
      </c>
      <c r="B64" s="142" t="e">
        <f t="shared" si="13"/>
        <v>#N/A</v>
      </c>
      <c r="C64" s="143" t="e">
        <f t="shared" si="14"/>
        <v>#N/A</v>
      </c>
      <c r="D64" s="143" t="e">
        <f t="shared" si="15"/>
        <v>#N/A</v>
      </c>
      <c r="E64" s="143" t="e">
        <f t="shared" si="16"/>
        <v>#N/A</v>
      </c>
      <c r="F64" s="143" t="e">
        <f t="shared" si="17"/>
        <v>#N/A</v>
      </c>
      <c r="G64" s="144" t="e">
        <f t="shared" si="18"/>
        <v>#N/A</v>
      </c>
      <c r="H64" s="142" t="e">
        <f t="shared" si="19"/>
        <v>#N/A</v>
      </c>
      <c r="I64" s="143" t="e">
        <f t="shared" si="20"/>
        <v>#N/A</v>
      </c>
      <c r="J64" s="143" t="e">
        <f t="shared" si="21"/>
        <v>#N/A</v>
      </c>
      <c r="K64" s="143" t="e">
        <f t="shared" si="22"/>
        <v>#N/A</v>
      </c>
      <c r="L64" s="143" t="e">
        <f t="shared" si="23"/>
        <v>#N/A</v>
      </c>
      <c r="M64" s="144" t="e">
        <f t="shared" si="24"/>
        <v>#N/A</v>
      </c>
    </row>
    <row r="65" spans="1:13" x14ac:dyDescent="0.25">
      <c r="A65" s="20" t="e">
        <f t="shared" si="25"/>
        <v>#N/A</v>
      </c>
      <c r="B65" s="142" t="e">
        <f t="shared" si="13"/>
        <v>#N/A</v>
      </c>
      <c r="C65" s="143" t="e">
        <f t="shared" si="14"/>
        <v>#N/A</v>
      </c>
      <c r="D65" s="143" t="e">
        <f t="shared" si="15"/>
        <v>#N/A</v>
      </c>
      <c r="E65" s="143" t="e">
        <f t="shared" si="16"/>
        <v>#N/A</v>
      </c>
      <c r="F65" s="143" t="e">
        <f t="shared" si="17"/>
        <v>#N/A</v>
      </c>
      <c r="G65" s="144" t="e">
        <f t="shared" si="18"/>
        <v>#N/A</v>
      </c>
      <c r="H65" s="142" t="e">
        <f t="shared" si="19"/>
        <v>#N/A</v>
      </c>
      <c r="I65" s="143" t="e">
        <f t="shared" si="20"/>
        <v>#N/A</v>
      </c>
      <c r="J65" s="143" t="e">
        <f t="shared" si="21"/>
        <v>#N/A</v>
      </c>
      <c r="K65" s="143" t="e">
        <f t="shared" si="22"/>
        <v>#N/A</v>
      </c>
      <c r="L65" s="143" t="e">
        <f t="shared" si="23"/>
        <v>#N/A</v>
      </c>
      <c r="M65" s="144" t="e">
        <f t="shared" si="24"/>
        <v>#N/A</v>
      </c>
    </row>
    <row r="66" spans="1:13" x14ac:dyDescent="0.25">
      <c r="A66" s="20" t="e">
        <f t="shared" si="25"/>
        <v>#N/A</v>
      </c>
      <c r="B66" s="142" t="e">
        <f t="shared" si="13"/>
        <v>#N/A</v>
      </c>
      <c r="C66" s="143" t="e">
        <f t="shared" si="14"/>
        <v>#N/A</v>
      </c>
      <c r="D66" s="143" t="e">
        <f t="shared" si="15"/>
        <v>#N/A</v>
      </c>
      <c r="E66" s="143" t="e">
        <f t="shared" si="16"/>
        <v>#N/A</v>
      </c>
      <c r="F66" s="143" t="e">
        <f t="shared" si="17"/>
        <v>#N/A</v>
      </c>
      <c r="G66" s="144" t="e">
        <f t="shared" si="18"/>
        <v>#N/A</v>
      </c>
      <c r="H66" s="142" t="e">
        <f t="shared" si="19"/>
        <v>#N/A</v>
      </c>
      <c r="I66" s="143" t="e">
        <f t="shared" si="20"/>
        <v>#N/A</v>
      </c>
      <c r="J66" s="143" t="e">
        <f t="shared" si="21"/>
        <v>#N/A</v>
      </c>
      <c r="K66" s="143" t="e">
        <f t="shared" si="22"/>
        <v>#N/A</v>
      </c>
      <c r="L66" s="143" t="e">
        <f t="shared" si="23"/>
        <v>#N/A</v>
      </c>
      <c r="M66" s="144" t="e">
        <f t="shared" si="24"/>
        <v>#N/A</v>
      </c>
    </row>
    <row r="67" spans="1:13" x14ac:dyDescent="0.25">
      <c r="A67" s="20" t="e">
        <f t="shared" si="25"/>
        <v>#N/A</v>
      </c>
      <c r="B67" s="142" t="e">
        <f t="shared" si="13"/>
        <v>#N/A</v>
      </c>
      <c r="C67" s="143" t="e">
        <f t="shared" si="14"/>
        <v>#N/A</v>
      </c>
      <c r="D67" s="143" t="e">
        <f t="shared" si="15"/>
        <v>#N/A</v>
      </c>
      <c r="E67" s="143" t="e">
        <f t="shared" si="16"/>
        <v>#N/A</v>
      </c>
      <c r="F67" s="143" t="e">
        <f t="shared" si="17"/>
        <v>#N/A</v>
      </c>
      <c r="G67" s="144" t="e">
        <f t="shared" si="18"/>
        <v>#N/A</v>
      </c>
      <c r="H67" s="142" t="e">
        <f t="shared" si="19"/>
        <v>#N/A</v>
      </c>
      <c r="I67" s="143" t="e">
        <f t="shared" si="20"/>
        <v>#N/A</v>
      </c>
      <c r="J67" s="143" t="e">
        <f t="shared" si="21"/>
        <v>#N/A</v>
      </c>
      <c r="K67" s="143" t="e">
        <f t="shared" si="22"/>
        <v>#N/A</v>
      </c>
      <c r="L67" s="143" t="e">
        <f t="shared" si="23"/>
        <v>#N/A</v>
      </c>
      <c r="M67" s="144" t="e">
        <f t="shared" si="24"/>
        <v>#N/A</v>
      </c>
    </row>
    <row r="68" spans="1:13" x14ac:dyDescent="0.25">
      <c r="A68" s="20" t="e">
        <f t="shared" si="25"/>
        <v>#N/A</v>
      </c>
      <c r="B68" s="142" t="e">
        <f t="shared" ref="B68:B99" si="26">IF(Load_Case=1,(FA_SUS*1000/(2*3.14*A68*0.001*0.5)),NA())</f>
        <v>#N/A</v>
      </c>
      <c r="C68" s="143" t="e">
        <f t="shared" ref="C68:C99" si="27">IF(Load_Case=1,((FL_SUS*H_Trunnion)/(3.14*((A68*0.5)*0.001)^2)),NA())</f>
        <v>#N/A</v>
      </c>
      <c r="D68" s="143" t="e">
        <f t="shared" ref="D68:D99" si="28">IF(Load_Case=1,((FC_SUS*H_Trunnion)/(3.14*((A68*0.5)*0.001)^2)),NA())</f>
        <v>#N/A</v>
      </c>
      <c r="E68" s="143" t="e">
        <f t="shared" ref="E68:E99" si="29">1.5*B68+SQRT(C68^2+(D68*1.5)^2)</f>
        <v>#N/A</v>
      </c>
      <c r="F68" s="143" t="e">
        <f t="shared" ref="F68:F99" si="30">IF(SL_Trunnion,(1.17*E68*SQRT(0.5*D*0.001))*0.000001/((tnet_TRUNNION*0.001)^1.5),NA())</f>
        <v>#N/A</v>
      </c>
      <c r="G68" s="144" t="e">
        <f t="shared" ref="G68:G99" si="31">IF(SC_Trunnion,(0.643*E68*SQRT((D*0.5)*0.001))*0.000001/((tnet_TRUNNION*0.001)^1.5),NA())</f>
        <v>#N/A</v>
      </c>
      <c r="H68" s="142" t="e">
        <f t="shared" ref="H68:H99" si="32">IF(Load_Case=2,(FA_EXP*1000/(2*3.14*A68*0.001*0.5)),NA())</f>
        <v>#N/A</v>
      </c>
      <c r="I68" s="143" t="e">
        <f t="shared" ref="I68:I99" si="33">IF(Load_Case=2,((FL_EXP*H_Trunnion)/(3.14*((A68*0.5)*0.001)^2)),NA())</f>
        <v>#N/A</v>
      </c>
      <c r="J68" s="143" t="e">
        <f t="shared" ref="J68:J99" si="34">IF(Load_Case=2,((FC_EXP*H_Trunnion)/(3.14*((A68*0.5)*0.001)^2)),NA())</f>
        <v>#N/A</v>
      </c>
      <c r="K68" s="143" t="e">
        <f t="shared" ref="K68:K99" si="35">1.5*H68+SQRT(I68^2+(J68*1.5)^2)</f>
        <v>#N/A</v>
      </c>
      <c r="L68" s="143" t="e">
        <f t="shared" ref="L68:L99" si="36">IF(SL_Trunnion,(1.17*K68*SQRT(0.5*D*0.001))*0.000001/((tnet_TRUNNION*0.001)^1.5),NA())</f>
        <v>#N/A</v>
      </c>
      <c r="M68" s="144" t="e">
        <f t="shared" ref="M68:M99" si="37">IF(SC_Trunnion,(0.643*K68*SQRT((D*0.5)*0.001))*0.000001/((tnet_TRUNNION*0.001)^1.5),NA())</f>
        <v>#N/A</v>
      </c>
    </row>
    <row r="69" spans="1:13" x14ac:dyDescent="0.25">
      <c r="A69" s="20" t="e">
        <f t="shared" ref="A69:A100" si="38">IF((A68+d_Trunnion_Increment)&gt;Max_Trunnion_diameter,NA(),A68+d_Trunnion_Increment)</f>
        <v>#N/A</v>
      </c>
      <c r="B69" s="142" t="e">
        <f t="shared" si="26"/>
        <v>#N/A</v>
      </c>
      <c r="C69" s="143" t="e">
        <f t="shared" si="27"/>
        <v>#N/A</v>
      </c>
      <c r="D69" s="143" t="e">
        <f t="shared" si="28"/>
        <v>#N/A</v>
      </c>
      <c r="E69" s="143" t="e">
        <f t="shared" si="29"/>
        <v>#N/A</v>
      </c>
      <c r="F69" s="143" t="e">
        <f t="shared" si="30"/>
        <v>#N/A</v>
      </c>
      <c r="G69" s="144" t="e">
        <f t="shared" si="31"/>
        <v>#N/A</v>
      </c>
      <c r="H69" s="142" t="e">
        <f t="shared" si="32"/>
        <v>#N/A</v>
      </c>
      <c r="I69" s="143" t="e">
        <f t="shared" si="33"/>
        <v>#N/A</v>
      </c>
      <c r="J69" s="143" t="e">
        <f t="shared" si="34"/>
        <v>#N/A</v>
      </c>
      <c r="K69" s="143" t="e">
        <f t="shared" si="35"/>
        <v>#N/A</v>
      </c>
      <c r="L69" s="143" t="e">
        <f t="shared" si="36"/>
        <v>#N/A</v>
      </c>
      <c r="M69" s="144" t="e">
        <f t="shared" si="37"/>
        <v>#N/A</v>
      </c>
    </row>
    <row r="70" spans="1:13" x14ac:dyDescent="0.25">
      <c r="A70" s="20" t="e">
        <f t="shared" si="38"/>
        <v>#N/A</v>
      </c>
      <c r="B70" s="142" t="e">
        <f t="shared" si="26"/>
        <v>#N/A</v>
      </c>
      <c r="C70" s="143" t="e">
        <f t="shared" si="27"/>
        <v>#N/A</v>
      </c>
      <c r="D70" s="143" t="e">
        <f t="shared" si="28"/>
        <v>#N/A</v>
      </c>
      <c r="E70" s="143" t="e">
        <f t="shared" si="29"/>
        <v>#N/A</v>
      </c>
      <c r="F70" s="143" t="e">
        <f t="shared" si="30"/>
        <v>#N/A</v>
      </c>
      <c r="G70" s="144" t="e">
        <f t="shared" si="31"/>
        <v>#N/A</v>
      </c>
      <c r="H70" s="142" t="e">
        <f t="shared" si="32"/>
        <v>#N/A</v>
      </c>
      <c r="I70" s="143" t="e">
        <f t="shared" si="33"/>
        <v>#N/A</v>
      </c>
      <c r="J70" s="143" t="e">
        <f t="shared" si="34"/>
        <v>#N/A</v>
      </c>
      <c r="K70" s="143" t="e">
        <f t="shared" si="35"/>
        <v>#N/A</v>
      </c>
      <c r="L70" s="143" t="e">
        <f t="shared" si="36"/>
        <v>#N/A</v>
      </c>
      <c r="M70" s="144" t="e">
        <f t="shared" si="37"/>
        <v>#N/A</v>
      </c>
    </row>
    <row r="71" spans="1:13" x14ac:dyDescent="0.25">
      <c r="A71" s="20" t="e">
        <f t="shared" si="38"/>
        <v>#N/A</v>
      </c>
      <c r="B71" s="142" t="e">
        <f t="shared" si="26"/>
        <v>#N/A</v>
      </c>
      <c r="C71" s="143" t="e">
        <f t="shared" si="27"/>
        <v>#N/A</v>
      </c>
      <c r="D71" s="143" t="e">
        <f t="shared" si="28"/>
        <v>#N/A</v>
      </c>
      <c r="E71" s="143" t="e">
        <f t="shared" si="29"/>
        <v>#N/A</v>
      </c>
      <c r="F71" s="143" t="e">
        <f t="shared" si="30"/>
        <v>#N/A</v>
      </c>
      <c r="G71" s="144" t="e">
        <f t="shared" si="31"/>
        <v>#N/A</v>
      </c>
      <c r="H71" s="142" t="e">
        <f t="shared" si="32"/>
        <v>#N/A</v>
      </c>
      <c r="I71" s="143" t="e">
        <f t="shared" si="33"/>
        <v>#N/A</v>
      </c>
      <c r="J71" s="143" t="e">
        <f t="shared" si="34"/>
        <v>#N/A</v>
      </c>
      <c r="K71" s="143" t="e">
        <f t="shared" si="35"/>
        <v>#N/A</v>
      </c>
      <c r="L71" s="143" t="e">
        <f t="shared" si="36"/>
        <v>#N/A</v>
      </c>
      <c r="M71" s="144" t="e">
        <f t="shared" si="37"/>
        <v>#N/A</v>
      </c>
    </row>
    <row r="72" spans="1:13" x14ac:dyDescent="0.25">
      <c r="A72" s="20" t="e">
        <f t="shared" si="38"/>
        <v>#N/A</v>
      </c>
      <c r="B72" s="142" t="e">
        <f t="shared" si="26"/>
        <v>#N/A</v>
      </c>
      <c r="C72" s="143" t="e">
        <f t="shared" si="27"/>
        <v>#N/A</v>
      </c>
      <c r="D72" s="143" t="e">
        <f t="shared" si="28"/>
        <v>#N/A</v>
      </c>
      <c r="E72" s="143" t="e">
        <f t="shared" si="29"/>
        <v>#N/A</v>
      </c>
      <c r="F72" s="143" t="e">
        <f t="shared" si="30"/>
        <v>#N/A</v>
      </c>
      <c r="G72" s="144" t="e">
        <f t="shared" si="31"/>
        <v>#N/A</v>
      </c>
      <c r="H72" s="142" t="e">
        <f t="shared" si="32"/>
        <v>#N/A</v>
      </c>
      <c r="I72" s="143" t="e">
        <f t="shared" si="33"/>
        <v>#N/A</v>
      </c>
      <c r="J72" s="143" t="e">
        <f t="shared" si="34"/>
        <v>#N/A</v>
      </c>
      <c r="K72" s="143" t="e">
        <f t="shared" si="35"/>
        <v>#N/A</v>
      </c>
      <c r="L72" s="143" t="e">
        <f t="shared" si="36"/>
        <v>#N/A</v>
      </c>
      <c r="M72" s="144" t="e">
        <f t="shared" si="37"/>
        <v>#N/A</v>
      </c>
    </row>
    <row r="73" spans="1:13" x14ac:dyDescent="0.25">
      <c r="A73" s="20" t="e">
        <f t="shared" si="38"/>
        <v>#N/A</v>
      </c>
      <c r="B73" s="142" t="e">
        <f t="shared" si="26"/>
        <v>#N/A</v>
      </c>
      <c r="C73" s="143" t="e">
        <f t="shared" si="27"/>
        <v>#N/A</v>
      </c>
      <c r="D73" s="143" t="e">
        <f t="shared" si="28"/>
        <v>#N/A</v>
      </c>
      <c r="E73" s="143" t="e">
        <f t="shared" si="29"/>
        <v>#N/A</v>
      </c>
      <c r="F73" s="143" t="e">
        <f t="shared" si="30"/>
        <v>#N/A</v>
      </c>
      <c r="G73" s="144" t="e">
        <f t="shared" si="31"/>
        <v>#N/A</v>
      </c>
      <c r="H73" s="142" t="e">
        <f t="shared" si="32"/>
        <v>#N/A</v>
      </c>
      <c r="I73" s="143" t="e">
        <f t="shared" si="33"/>
        <v>#N/A</v>
      </c>
      <c r="J73" s="143" t="e">
        <f t="shared" si="34"/>
        <v>#N/A</v>
      </c>
      <c r="K73" s="143" t="e">
        <f t="shared" si="35"/>
        <v>#N/A</v>
      </c>
      <c r="L73" s="143" t="e">
        <f t="shared" si="36"/>
        <v>#N/A</v>
      </c>
      <c r="M73" s="144" t="e">
        <f t="shared" si="37"/>
        <v>#N/A</v>
      </c>
    </row>
    <row r="74" spans="1:13" x14ac:dyDescent="0.25">
      <c r="A74" s="20" t="e">
        <f t="shared" si="38"/>
        <v>#N/A</v>
      </c>
      <c r="B74" s="142" t="e">
        <f t="shared" si="26"/>
        <v>#N/A</v>
      </c>
      <c r="C74" s="143" t="e">
        <f t="shared" si="27"/>
        <v>#N/A</v>
      </c>
      <c r="D74" s="143" t="e">
        <f t="shared" si="28"/>
        <v>#N/A</v>
      </c>
      <c r="E74" s="143" t="e">
        <f t="shared" si="29"/>
        <v>#N/A</v>
      </c>
      <c r="F74" s="143" t="e">
        <f t="shared" si="30"/>
        <v>#N/A</v>
      </c>
      <c r="G74" s="144" t="e">
        <f t="shared" si="31"/>
        <v>#N/A</v>
      </c>
      <c r="H74" s="142" t="e">
        <f t="shared" si="32"/>
        <v>#N/A</v>
      </c>
      <c r="I74" s="143" t="e">
        <f t="shared" si="33"/>
        <v>#N/A</v>
      </c>
      <c r="J74" s="143" t="e">
        <f t="shared" si="34"/>
        <v>#N/A</v>
      </c>
      <c r="K74" s="143" t="e">
        <f t="shared" si="35"/>
        <v>#N/A</v>
      </c>
      <c r="L74" s="143" t="e">
        <f t="shared" si="36"/>
        <v>#N/A</v>
      </c>
      <c r="M74" s="144" t="e">
        <f t="shared" si="37"/>
        <v>#N/A</v>
      </c>
    </row>
    <row r="75" spans="1:13" x14ac:dyDescent="0.25">
      <c r="A75" s="20" t="e">
        <f t="shared" si="38"/>
        <v>#N/A</v>
      </c>
      <c r="B75" s="142" t="e">
        <f t="shared" si="26"/>
        <v>#N/A</v>
      </c>
      <c r="C75" s="143" t="e">
        <f t="shared" si="27"/>
        <v>#N/A</v>
      </c>
      <c r="D75" s="143" t="e">
        <f t="shared" si="28"/>
        <v>#N/A</v>
      </c>
      <c r="E75" s="143" t="e">
        <f t="shared" si="29"/>
        <v>#N/A</v>
      </c>
      <c r="F75" s="143" t="e">
        <f t="shared" si="30"/>
        <v>#N/A</v>
      </c>
      <c r="G75" s="144" t="e">
        <f t="shared" si="31"/>
        <v>#N/A</v>
      </c>
      <c r="H75" s="142" t="e">
        <f t="shared" si="32"/>
        <v>#N/A</v>
      </c>
      <c r="I75" s="143" t="e">
        <f t="shared" si="33"/>
        <v>#N/A</v>
      </c>
      <c r="J75" s="143" t="e">
        <f t="shared" si="34"/>
        <v>#N/A</v>
      </c>
      <c r="K75" s="143" t="e">
        <f t="shared" si="35"/>
        <v>#N/A</v>
      </c>
      <c r="L75" s="143" t="e">
        <f t="shared" si="36"/>
        <v>#N/A</v>
      </c>
      <c r="M75" s="144" t="e">
        <f t="shared" si="37"/>
        <v>#N/A</v>
      </c>
    </row>
    <row r="76" spans="1:13" x14ac:dyDescent="0.25">
      <c r="A76" s="20" t="e">
        <f t="shared" si="38"/>
        <v>#N/A</v>
      </c>
      <c r="B76" s="142" t="e">
        <f t="shared" si="26"/>
        <v>#N/A</v>
      </c>
      <c r="C76" s="143" t="e">
        <f t="shared" si="27"/>
        <v>#N/A</v>
      </c>
      <c r="D76" s="143" t="e">
        <f t="shared" si="28"/>
        <v>#N/A</v>
      </c>
      <c r="E76" s="143" t="e">
        <f t="shared" si="29"/>
        <v>#N/A</v>
      </c>
      <c r="F76" s="143" t="e">
        <f t="shared" si="30"/>
        <v>#N/A</v>
      </c>
      <c r="G76" s="144" t="e">
        <f t="shared" si="31"/>
        <v>#N/A</v>
      </c>
      <c r="H76" s="142" t="e">
        <f t="shared" si="32"/>
        <v>#N/A</v>
      </c>
      <c r="I76" s="143" t="e">
        <f t="shared" si="33"/>
        <v>#N/A</v>
      </c>
      <c r="J76" s="143" t="e">
        <f t="shared" si="34"/>
        <v>#N/A</v>
      </c>
      <c r="K76" s="143" t="e">
        <f t="shared" si="35"/>
        <v>#N/A</v>
      </c>
      <c r="L76" s="143" t="e">
        <f t="shared" si="36"/>
        <v>#N/A</v>
      </c>
      <c r="M76" s="144" t="e">
        <f t="shared" si="37"/>
        <v>#N/A</v>
      </c>
    </row>
    <row r="77" spans="1:13" x14ac:dyDescent="0.25">
      <c r="A77" s="20" t="e">
        <f t="shared" si="38"/>
        <v>#N/A</v>
      </c>
      <c r="B77" s="142" t="e">
        <f t="shared" si="26"/>
        <v>#N/A</v>
      </c>
      <c r="C77" s="143" t="e">
        <f t="shared" si="27"/>
        <v>#N/A</v>
      </c>
      <c r="D77" s="143" t="e">
        <f t="shared" si="28"/>
        <v>#N/A</v>
      </c>
      <c r="E77" s="143" t="e">
        <f t="shared" si="29"/>
        <v>#N/A</v>
      </c>
      <c r="F77" s="143" t="e">
        <f t="shared" si="30"/>
        <v>#N/A</v>
      </c>
      <c r="G77" s="144" t="e">
        <f t="shared" si="31"/>
        <v>#N/A</v>
      </c>
      <c r="H77" s="142" t="e">
        <f t="shared" si="32"/>
        <v>#N/A</v>
      </c>
      <c r="I77" s="143" t="e">
        <f t="shared" si="33"/>
        <v>#N/A</v>
      </c>
      <c r="J77" s="143" t="e">
        <f t="shared" si="34"/>
        <v>#N/A</v>
      </c>
      <c r="K77" s="143" t="e">
        <f t="shared" si="35"/>
        <v>#N/A</v>
      </c>
      <c r="L77" s="143" t="e">
        <f t="shared" si="36"/>
        <v>#N/A</v>
      </c>
      <c r="M77" s="144" t="e">
        <f t="shared" si="37"/>
        <v>#N/A</v>
      </c>
    </row>
    <row r="78" spans="1:13" x14ac:dyDescent="0.25">
      <c r="A78" s="20" t="e">
        <f t="shared" si="38"/>
        <v>#N/A</v>
      </c>
      <c r="B78" s="142" t="e">
        <f t="shared" si="26"/>
        <v>#N/A</v>
      </c>
      <c r="C78" s="143" t="e">
        <f t="shared" si="27"/>
        <v>#N/A</v>
      </c>
      <c r="D78" s="143" t="e">
        <f t="shared" si="28"/>
        <v>#N/A</v>
      </c>
      <c r="E78" s="143" t="e">
        <f t="shared" si="29"/>
        <v>#N/A</v>
      </c>
      <c r="F78" s="143" t="e">
        <f t="shared" si="30"/>
        <v>#N/A</v>
      </c>
      <c r="G78" s="144" t="e">
        <f t="shared" si="31"/>
        <v>#N/A</v>
      </c>
      <c r="H78" s="142" t="e">
        <f t="shared" si="32"/>
        <v>#N/A</v>
      </c>
      <c r="I78" s="143" t="e">
        <f t="shared" si="33"/>
        <v>#N/A</v>
      </c>
      <c r="J78" s="143" t="e">
        <f t="shared" si="34"/>
        <v>#N/A</v>
      </c>
      <c r="K78" s="143" t="e">
        <f t="shared" si="35"/>
        <v>#N/A</v>
      </c>
      <c r="L78" s="143" t="e">
        <f t="shared" si="36"/>
        <v>#N/A</v>
      </c>
      <c r="M78" s="144" t="e">
        <f t="shared" si="37"/>
        <v>#N/A</v>
      </c>
    </row>
    <row r="79" spans="1:13" x14ac:dyDescent="0.25">
      <c r="A79" s="20" t="e">
        <f t="shared" si="38"/>
        <v>#N/A</v>
      </c>
      <c r="B79" s="142" t="e">
        <f t="shared" si="26"/>
        <v>#N/A</v>
      </c>
      <c r="C79" s="143" t="e">
        <f t="shared" si="27"/>
        <v>#N/A</v>
      </c>
      <c r="D79" s="143" t="e">
        <f t="shared" si="28"/>
        <v>#N/A</v>
      </c>
      <c r="E79" s="143" t="e">
        <f t="shared" si="29"/>
        <v>#N/A</v>
      </c>
      <c r="F79" s="143" t="e">
        <f t="shared" si="30"/>
        <v>#N/A</v>
      </c>
      <c r="G79" s="144" t="e">
        <f t="shared" si="31"/>
        <v>#N/A</v>
      </c>
      <c r="H79" s="142" t="e">
        <f t="shared" si="32"/>
        <v>#N/A</v>
      </c>
      <c r="I79" s="143" t="e">
        <f t="shared" si="33"/>
        <v>#N/A</v>
      </c>
      <c r="J79" s="143" t="e">
        <f t="shared" si="34"/>
        <v>#N/A</v>
      </c>
      <c r="K79" s="143" t="e">
        <f t="shared" si="35"/>
        <v>#N/A</v>
      </c>
      <c r="L79" s="143" t="e">
        <f t="shared" si="36"/>
        <v>#N/A</v>
      </c>
      <c r="M79" s="144" t="e">
        <f t="shared" si="37"/>
        <v>#N/A</v>
      </c>
    </row>
    <row r="80" spans="1:13" x14ac:dyDescent="0.25">
      <c r="A80" s="20" t="e">
        <f t="shared" si="38"/>
        <v>#N/A</v>
      </c>
      <c r="B80" s="142" t="e">
        <f t="shared" si="26"/>
        <v>#N/A</v>
      </c>
      <c r="C80" s="143" t="e">
        <f t="shared" si="27"/>
        <v>#N/A</v>
      </c>
      <c r="D80" s="143" t="e">
        <f t="shared" si="28"/>
        <v>#N/A</v>
      </c>
      <c r="E80" s="143" t="e">
        <f t="shared" si="29"/>
        <v>#N/A</v>
      </c>
      <c r="F80" s="143" t="e">
        <f t="shared" si="30"/>
        <v>#N/A</v>
      </c>
      <c r="G80" s="144" t="e">
        <f t="shared" si="31"/>
        <v>#N/A</v>
      </c>
      <c r="H80" s="142" t="e">
        <f t="shared" si="32"/>
        <v>#N/A</v>
      </c>
      <c r="I80" s="143" t="e">
        <f t="shared" si="33"/>
        <v>#N/A</v>
      </c>
      <c r="J80" s="143" t="e">
        <f t="shared" si="34"/>
        <v>#N/A</v>
      </c>
      <c r="K80" s="143" t="e">
        <f t="shared" si="35"/>
        <v>#N/A</v>
      </c>
      <c r="L80" s="143" t="e">
        <f t="shared" si="36"/>
        <v>#N/A</v>
      </c>
      <c r="M80" s="144" t="e">
        <f t="shared" si="37"/>
        <v>#N/A</v>
      </c>
    </row>
    <row r="81" spans="1:13" x14ac:dyDescent="0.25">
      <c r="A81" s="20" t="e">
        <f t="shared" si="38"/>
        <v>#N/A</v>
      </c>
      <c r="B81" s="142" t="e">
        <f t="shared" si="26"/>
        <v>#N/A</v>
      </c>
      <c r="C81" s="143" t="e">
        <f t="shared" si="27"/>
        <v>#N/A</v>
      </c>
      <c r="D81" s="143" t="e">
        <f t="shared" si="28"/>
        <v>#N/A</v>
      </c>
      <c r="E81" s="143" t="e">
        <f t="shared" si="29"/>
        <v>#N/A</v>
      </c>
      <c r="F81" s="143" t="e">
        <f t="shared" si="30"/>
        <v>#N/A</v>
      </c>
      <c r="G81" s="144" t="e">
        <f t="shared" si="31"/>
        <v>#N/A</v>
      </c>
      <c r="H81" s="142" t="e">
        <f t="shared" si="32"/>
        <v>#N/A</v>
      </c>
      <c r="I81" s="143" t="e">
        <f t="shared" si="33"/>
        <v>#N/A</v>
      </c>
      <c r="J81" s="143" t="e">
        <f t="shared" si="34"/>
        <v>#N/A</v>
      </c>
      <c r="K81" s="143" t="e">
        <f t="shared" si="35"/>
        <v>#N/A</v>
      </c>
      <c r="L81" s="143" t="e">
        <f t="shared" si="36"/>
        <v>#N/A</v>
      </c>
      <c r="M81" s="144" t="e">
        <f t="shared" si="37"/>
        <v>#N/A</v>
      </c>
    </row>
    <row r="82" spans="1:13" x14ac:dyDescent="0.25">
      <c r="A82" s="20" t="e">
        <f t="shared" si="38"/>
        <v>#N/A</v>
      </c>
      <c r="B82" s="142" t="e">
        <f t="shared" si="26"/>
        <v>#N/A</v>
      </c>
      <c r="C82" s="143" t="e">
        <f t="shared" si="27"/>
        <v>#N/A</v>
      </c>
      <c r="D82" s="143" t="e">
        <f t="shared" si="28"/>
        <v>#N/A</v>
      </c>
      <c r="E82" s="143" t="e">
        <f t="shared" si="29"/>
        <v>#N/A</v>
      </c>
      <c r="F82" s="143" t="e">
        <f t="shared" si="30"/>
        <v>#N/A</v>
      </c>
      <c r="G82" s="144" t="e">
        <f t="shared" si="31"/>
        <v>#N/A</v>
      </c>
      <c r="H82" s="142" t="e">
        <f t="shared" si="32"/>
        <v>#N/A</v>
      </c>
      <c r="I82" s="143" t="e">
        <f t="shared" si="33"/>
        <v>#N/A</v>
      </c>
      <c r="J82" s="143" t="e">
        <f t="shared" si="34"/>
        <v>#N/A</v>
      </c>
      <c r="K82" s="143" t="e">
        <f t="shared" si="35"/>
        <v>#N/A</v>
      </c>
      <c r="L82" s="143" t="e">
        <f t="shared" si="36"/>
        <v>#N/A</v>
      </c>
      <c r="M82" s="144" t="e">
        <f t="shared" si="37"/>
        <v>#N/A</v>
      </c>
    </row>
    <row r="83" spans="1:13" x14ac:dyDescent="0.25">
      <c r="A83" s="20" t="e">
        <f t="shared" si="38"/>
        <v>#N/A</v>
      </c>
      <c r="B83" s="142" t="e">
        <f t="shared" si="26"/>
        <v>#N/A</v>
      </c>
      <c r="C83" s="143" t="e">
        <f t="shared" si="27"/>
        <v>#N/A</v>
      </c>
      <c r="D83" s="143" t="e">
        <f t="shared" si="28"/>
        <v>#N/A</v>
      </c>
      <c r="E83" s="143" t="e">
        <f t="shared" si="29"/>
        <v>#N/A</v>
      </c>
      <c r="F83" s="143" t="e">
        <f t="shared" si="30"/>
        <v>#N/A</v>
      </c>
      <c r="G83" s="144" t="e">
        <f t="shared" si="31"/>
        <v>#N/A</v>
      </c>
      <c r="H83" s="142" t="e">
        <f t="shared" si="32"/>
        <v>#N/A</v>
      </c>
      <c r="I83" s="143" t="e">
        <f t="shared" si="33"/>
        <v>#N/A</v>
      </c>
      <c r="J83" s="143" t="e">
        <f t="shared" si="34"/>
        <v>#N/A</v>
      </c>
      <c r="K83" s="143" t="e">
        <f t="shared" si="35"/>
        <v>#N/A</v>
      </c>
      <c r="L83" s="143" t="e">
        <f t="shared" si="36"/>
        <v>#N/A</v>
      </c>
      <c r="M83" s="144" t="e">
        <f t="shared" si="37"/>
        <v>#N/A</v>
      </c>
    </row>
    <row r="84" spans="1:13" x14ac:dyDescent="0.25">
      <c r="A84" s="20" t="e">
        <f t="shared" si="38"/>
        <v>#N/A</v>
      </c>
      <c r="B84" s="142" t="e">
        <f t="shared" si="26"/>
        <v>#N/A</v>
      </c>
      <c r="C84" s="143" t="e">
        <f t="shared" si="27"/>
        <v>#N/A</v>
      </c>
      <c r="D84" s="143" t="e">
        <f t="shared" si="28"/>
        <v>#N/A</v>
      </c>
      <c r="E84" s="143" t="e">
        <f t="shared" si="29"/>
        <v>#N/A</v>
      </c>
      <c r="F84" s="143" t="e">
        <f t="shared" si="30"/>
        <v>#N/A</v>
      </c>
      <c r="G84" s="144" t="e">
        <f t="shared" si="31"/>
        <v>#N/A</v>
      </c>
      <c r="H84" s="142" t="e">
        <f t="shared" si="32"/>
        <v>#N/A</v>
      </c>
      <c r="I84" s="143" t="e">
        <f t="shared" si="33"/>
        <v>#N/A</v>
      </c>
      <c r="J84" s="143" t="e">
        <f t="shared" si="34"/>
        <v>#N/A</v>
      </c>
      <c r="K84" s="143" t="e">
        <f t="shared" si="35"/>
        <v>#N/A</v>
      </c>
      <c r="L84" s="143" t="e">
        <f t="shared" si="36"/>
        <v>#N/A</v>
      </c>
      <c r="M84" s="144" t="e">
        <f t="shared" si="37"/>
        <v>#N/A</v>
      </c>
    </row>
    <row r="85" spans="1:13" x14ac:dyDescent="0.25">
      <c r="A85" s="20" t="e">
        <f t="shared" si="38"/>
        <v>#N/A</v>
      </c>
      <c r="B85" s="142" t="e">
        <f t="shared" si="26"/>
        <v>#N/A</v>
      </c>
      <c r="C85" s="143" t="e">
        <f t="shared" si="27"/>
        <v>#N/A</v>
      </c>
      <c r="D85" s="143" t="e">
        <f t="shared" si="28"/>
        <v>#N/A</v>
      </c>
      <c r="E85" s="143" t="e">
        <f t="shared" si="29"/>
        <v>#N/A</v>
      </c>
      <c r="F85" s="143" t="e">
        <f t="shared" si="30"/>
        <v>#N/A</v>
      </c>
      <c r="G85" s="144" t="e">
        <f t="shared" si="31"/>
        <v>#N/A</v>
      </c>
      <c r="H85" s="142" t="e">
        <f t="shared" si="32"/>
        <v>#N/A</v>
      </c>
      <c r="I85" s="143" t="e">
        <f t="shared" si="33"/>
        <v>#N/A</v>
      </c>
      <c r="J85" s="143" t="e">
        <f t="shared" si="34"/>
        <v>#N/A</v>
      </c>
      <c r="K85" s="143" t="e">
        <f t="shared" si="35"/>
        <v>#N/A</v>
      </c>
      <c r="L85" s="143" t="e">
        <f t="shared" si="36"/>
        <v>#N/A</v>
      </c>
      <c r="M85" s="144" t="e">
        <f t="shared" si="37"/>
        <v>#N/A</v>
      </c>
    </row>
    <row r="86" spans="1:13" x14ac:dyDescent="0.25">
      <c r="A86" s="20" t="e">
        <f t="shared" si="38"/>
        <v>#N/A</v>
      </c>
      <c r="B86" s="142" t="e">
        <f t="shared" si="26"/>
        <v>#N/A</v>
      </c>
      <c r="C86" s="143" t="e">
        <f t="shared" si="27"/>
        <v>#N/A</v>
      </c>
      <c r="D86" s="143" t="e">
        <f t="shared" si="28"/>
        <v>#N/A</v>
      </c>
      <c r="E86" s="143" t="e">
        <f t="shared" si="29"/>
        <v>#N/A</v>
      </c>
      <c r="F86" s="143" t="e">
        <f t="shared" si="30"/>
        <v>#N/A</v>
      </c>
      <c r="G86" s="144" t="e">
        <f t="shared" si="31"/>
        <v>#N/A</v>
      </c>
      <c r="H86" s="142" t="e">
        <f t="shared" si="32"/>
        <v>#N/A</v>
      </c>
      <c r="I86" s="143" t="e">
        <f t="shared" si="33"/>
        <v>#N/A</v>
      </c>
      <c r="J86" s="143" t="e">
        <f t="shared" si="34"/>
        <v>#N/A</v>
      </c>
      <c r="K86" s="143" t="e">
        <f t="shared" si="35"/>
        <v>#N/A</v>
      </c>
      <c r="L86" s="143" t="e">
        <f t="shared" si="36"/>
        <v>#N/A</v>
      </c>
      <c r="M86" s="144" t="e">
        <f t="shared" si="37"/>
        <v>#N/A</v>
      </c>
    </row>
    <row r="87" spans="1:13" x14ac:dyDescent="0.25">
      <c r="A87" s="20" t="e">
        <f t="shared" si="38"/>
        <v>#N/A</v>
      </c>
      <c r="B87" s="142" t="e">
        <f t="shared" si="26"/>
        <v>#N/A</v>
      </c>
      <c r="C87" s="143" t="e">
        <f t="shared" si="27"/>
        <v>#N/A</v>
      </c>
      <c r="D87" s="143" t="e">
        <f t="shared" si="28"/>
        <v>#N/A</v>
      </c>
      <c r="E87" s="143" t="e">
        <f t="shared" si="29"/>
        <v>#N/A</v>
      </c>
      <c r="F87" s="143" t="e">
        <f t="shared" si="30"/>
        <v>#N/A</v>
      </c>
      <c r="G87" s="144" t="e">
        <f t="shared" si="31"/>
        <v>#N/A</v>
      </c>
      <c r="H87" s="142" t="e">
        <f t="shared" si="32"/>
        <v>#N/A</v>
      </c>
      <c r="I87" s="143" t="e">
        <f t="shared" si="33"/>
        <v>#N/A</v>
      </c>
      <c r="J87" s="143" t="e">
        <f t="shared" si="34"/>
        <v>#N/A</v>
      </c>
      <c r="K87" s="143" t="e">
        <f t="shared" si="35"/>
        <v>#N/A</v>
      </c>
      <c r="L87" s="143" t="e">
        <f t="shared" si="36"/>
        <v>#N/A</v>
      </c>
      <c r="M87" s="144" t="e">
        <f t="shared" si="37"/>
        <v>#N/A</v>
      </c>
    </row>
    <row r="88" spans="1:13" x14ac:dyDescent="0.25">
      <c r="A88" s="20" t="e">
        <f t="shared" si="38"/>
        <v>#N/A</v>
      </c>
      <c r="B88" s="142" t="e">
        <f t="shared" si="26"/>
        <v>#N/A</v>
      </c>
      <c r="C88" s="143" t="e">
        <f t="shared" si="27"/>
        <v>#N/A</v>
      </c>
      <c r="D88" s="143" t="e">
        <f t="shared" si="28"/>
        <v>#N/A</v>
      </c>
      <c r="E88" s="143" t="e">
        <f t="shared" si="29"/>
        <v>#N/A</v>
      </c>
      <c r="F88" s="143" t="e">
        <f t="shared" si="30"/>
        <v>#N/A</v>
      </c>
      <c r="G88" s="144" t="e">
        <f t="shared" si="31"/>
        <v>#N/A</v>
      </c>
      <c r="H88" s="142" t="e">
        <f t="shared" si="32"/>
        <v>#N/A</v>
      </c>
      <c r="I88" s="143" t="e">
        <f t="shared" si="33"/>
        <v>#N/A</v>
      </c>
      <c r="J88" s="143" t="e">
        <f t="shared" si="34"/>
        <v>#N/A</v>
      </c>
      <c r="K88" s="143" t="e">
        <f t="shared" si="35"/>
        <v>#N/A</v>
      </c>
      <c r="L88" s="143" t="e">
        <f t="shared" si="36"/>
        <v>#N/A</v>
      </c>
      <c r="M88" s="144" t="e">
        <f t="shared" si="37"/>
        <v>#N/A</v>
      </c>
    </row>
    <row r="89" spans="1:13" x14ac:dyDescent="0.25">
      <c r="A89" s="20" t="e">
        <f t="shared" si="38"/>
        <v>#N/A</v>
      </c>
      <c r="B89" s="142" t="e">
        <f t="shared" si="26"/>
        <v>#N/A</v>
      </c>
      <c r="C89" s="143" t="e">
        <f t="shared" si="27"/>
        <v>#N/A</v>
      </c>
      <c r="D89" s="143" t="e">
        <f t="shared" si="28"/>
        <v>#N/A</v>
      </c>
      <c r="E89" s="143" t="e">
        <f t="shared" si="29"/>
        <v>#N/A</v>
      </c>
      <c r="F89" s="143" t="e">
        <f t="shared" si="30"/>
        <v>#N/A</v>
      </c>
      <c r="G89" s="144" t="e">
        <f t="shared" si="31"/>
        <v>#N/A</v>
      </c>
      <c r="H89" s="142" t="e">
        <f t="shared" si="32"/>
        <v>#N/A</v>
      </c>
      <c r="I89" s="143" t="e">
        <f t="shared" si="33"/>
        <v>#N/A</v>
      </c>
      <c r="J89" s="143" t="e">
        <f t="shared" si="34"/>
        <v>#N/A</v>
      </c>
      <c r="K89" s="143" t="e">
        <f t="shared" si="35"/>
        <v>#N/A</v>
      </c>
      <c r="L89" s="143" t="e">
        <f t="shared" si="36"/>
        <v>#N/A</v>
      </c>
      <c r="M89" s="144" t="e">
        <f t="shared" si="37"/>
        <v>#N/A</v>
      </c>
    </row>
    <row r="90" spans="1:13" x14ac:dyDescent="0.25">
      <c r="A90" s="20" t="e">
        <f t="shared" si="38"/>
        <v>#N/A</v>
      </c>
      <c r="B90" s="142" t="e">
        <f t="shared" si="26"/>
        <v>#N/A</v>
      </c>
      <c r="C90" s="143" t="e">
        <f t="shared" si="27"/>
        <v>#N/A</v>
      </c>
      <c r="D90" s="143" t="e">
        <f t="shared" si="28"/>
        <v>#N/A</v>
      </c>
      <c r="E90" s="143" t="e">
        <f t="shared" si="29"/>
        <v>#N/A</v>
      </c>
      <c r="F90" s="143" t="e">
        <f t="shared" si="30"/>
        <v>#N/A</v>
      </c>
      <c r="G90" s="144" t="e">
        <f t="shared" si="31"/>
        <v>#N/A</v>
      </c>
      <c r="H90" s="142" t="e">
        <f t="shared" si="32"/>
        <v>#N/A</v>
      </c>
      <c r="I90" s="143" t="e">
        <f t="shared" si="33"/>
        <v>#N/A</v>
      </c>
      <c r="J90" s="143" t="e">
        <f t="shared" si="34"/>
        <v>#N/A</v>
      </c>
      <c r="K90" s="143" t="e">
        <f t="shared" si="35"/>
        <v>#N/A</v>
      </c>
      <c r="L90" s="143" t="e">
        <f t="shared" si="36"/>
        <v>#N/A</v>
      </c>
      <c r="M90" s="144" t="e">
        <f t="shared" si="37"/>
        <v>#N/A</v>
      </c>
    </row>
    <row r="91" spans="1:13" x14ac:dyDescent="0.25">
      <c r="A91" s="20" t="e">
        <f t="shared" si="38"/>
        <v>#N/A</v>
      </c>
      <c r="B91" s="142" t="e">
        <f t="shared" si="26"/>
        <v>#N/A</v>
      </c>
      <c r="C91" s="143" t="e">
        <f t="shared" si="27"/>
        <v>#N/A</v>
      </c>
      <c r="D91" s="143" t="e">
        <f t="shared" si="28"/>
        <v>#N/A</v>
      </c>
      <c r="E91" s="143" t="e">
        <f t="shared" si="29"/>
        <v>#N/A</v>
      </c>
      <c r="F91" s="143" t="e">
        <f t="shared" si="30"/>
        <v>#N/A</v>
      </c>
      <c r="G91" s="144" t="e">
        <f t="shared" si="31"/>
        <v>#N/A</v>
      </c>
      <c r="H91" s="142" t="e">
        <f t="shared" si="32"/>
        <v>#N/A</v>
      </c>
      <c r="I91" s="143" t="e">
        <f t="shared" si="33"/>
        <v>#N/A</v>
      </c>
      <c r="J91" s="143" t="e">
        <f t="shared" si="34"/>
        <v>#N/A</v>
      </c>
      <c r="K91" s="143" t="e">
        <f t="shared" si="35"/>
        <v>#N/A</v>
      </c>
      <c r="L91" s="143" t="e">
        <f t="shared" si="36"/>
        <v>#N/A</v>
      </c>
      <c r="M91" s="144" t="e">
        <f t="shared" si="37"/>
        <v>#N/A</v>
      </c>
    </row>
    <row r="92" spans="1:13" x14ac:dyDescent="0.25">
      <c r="A92" s="20" t="e">
        <f t="shared" si="38"/>
        <v>#N/A</v>
      </c>
      <c r="B92" s="142" t="e">
        <f t="shared" si="26"/>
        <v>#N/A</v>
      </c>
      <c r="C92" s="143" t="e">
        <f t="shared" si="27"/>
        <v>#N/A</v>
      </c>
      <c r="D92" s="143" t="e">
        <f t="shared" si="28"/>
        <v>#N/A</v>
      </c>
      <c r="E92" s="143" t="e">
        <f t="shared" si="29"/>
        <v>#N/A</v>
      </c>
      <c r="F92" s="143" t="e">
        <f t="shared" si="30"/>
        <v>#N/A</v>
      </c>
      <c r="G92" s="144" t="e">
        <f t="shared" si="31"/>
        <v>#N/A</v>
      </c>
      <c r="H92" s="142" t="e">
        <f t="shared" si="32"/>
        <v>#N/A</v>
      </c>
      <c r="I92" s="143" t="e">
        <f t="shared" si="33"/>
        <v>#N/A</v>
      </c>
      <c r="J92" s="143" t="e">
        <f t="shared" si="34"/>
        <v>#N/A</v>
      </c>
      <c r="K92" s="143" t="e">
        <f t="shared" si="35"/>
        <v>#N/A</v>
      </c>
      <c r="L92" s="143" t="e">
        <f t="shared" si="36"/>
        <v>#N/A</v>
      </c>
      <c r="M92" s="144" t="e">
        <f t="shared" si="37"/>
        <v>#N/A</v>
      </c>
    </row>
    <row r="93" spans="1:13" x14ac:dyDescent="0.25">
      <c r="A93" s="20" t="e">
        <f t="shared" si="38"/>
        <v>#N/A</v>
      </c>
      <c r="B93" s="142" t="e">
        <f t="shared" si="26"/>
        <v>#N/A</v>
      </c>
      <c r="C93" s="143" t="e">
        <f t="shared" si="27"/>
        <v>#N/A</v>
      </c>
      <c r="D93" s="143" t="e">
        <f t="shared" si="28"/>
        <v>#N/A</v>
      </c>
      <c r="E93" s="143" t="e">
        <f t="shared" si="29"/>
        <v>#N/A</v>
      </c>
      <c r="F93" s="143" t="e">
        <f t="shared" si="30"/>
        <v>#N/A</v>
      </c>
      <c r="G93" s="144" t="e">
        <f t="shared" si="31"/>
        <v>#N/A</v>
      </c>
      <c r="H93" s="142" t="e">
        <f t="shared" si="32"/>
        <v>#N/A</v>
      </c>
      <c r="I93" s="143" t="e">
        <f t="shared" si="33"/>
        <v>#N/A</v>
      </c>
      <c r="J93" s="143" t="e">
        <f t="shared" si="34"/>
        <v>#N/A</v>
      </c>
      <c r="K93" s="143" t="e">
        <f t="shared" si="35"/>
        <v>#N/A</v>
      </c>
      <c r="L93" s="143" t="e">
        <f t="shared" si="36"/>
        <v>#N/A</v>
      </c>
      <c r="M93" s="144" t="e">
        <f t="shared" si="37"/>
        <v>#N/A</v>
      </c>
    </row>
    <row r="94" spans="1:13" x14ac:dyDescent="0.25">
      <c r="A94" s="20" t="e">
        <f t="shared" si="38"/>
        <v>#N/A</v>
      </c>
      <c r="B94" s="142" t="e">
        <f t="shared" si="26"/>
        <v>#N/A</v>
      </c>
      <c r="C94" s="143" t="e">
        <f t="shared" si="27"/>
        <v>#N/A</v>
      </c>
      <c r="D94" s="143" t="e">
        <f t="shared" si="28"/>
        <v>#N/A</v>
      </c>
      <c r="E94" s="143" t="e">
        <f t="shared" si="29"/>
        <v>#N/A</v>
      </c>
      <c r="F94" s="143" t="e">
        <f t="shared" si="30"/>
        <v>#N/A</v>
      </c>
      <c r="G94" s="144" t="e">
        <f t="shared" si="31"/>
        <v>#N/A</v>
      </c>
      <c r="H94" s="142" t="e">
        <f t="shared" si="32"/>
        <v>#N/A</v>
      </c>
      <c r="I94" s="143" t="e">
        <f t="shared" si="33"/>
        <v>#N/A</v>
      </c>
      <c r="J94" s="143" t="e">
        <f t="shared" si="34"/>
        <v>#N/A</v>
      </c>
      <c r="K94" s="143" t="e">
        <f t="shared" si="35"/>
        <v>#N/A</v>
      </c>
      <c r="L94" s="143" t="e">
        <f t="shared" si="36"/>
        <v>#N/A</v>
      </c>
      <c r="M94" s="144" t="e">
        <f t="shared" si="37"/>
        <v>#N/A</v>
      </c>
    </row>
    <row r="95" spans="1:13" x14ac:dyDescent="0.25">
      <c r="A95" s="20" t="e">
        <f t="shared" si="38"/>
        <v>#N/A</v>
      </c>
      <c r="B95" s="142" t="e">
        <f t="shared" si="26"/>
        <v>#N/A</v>
      </c>
      <c r="C95" s="143" t="e">
        <f t="shared" si="27"/>
        <v>#N/A</v>
      </c>
      <c r="D95" s="143" t="e">
        <f t="shared" si="28"/>
        <v>#N/A</v>
      </c>
      <c r="E95" s="143" t="e">
        <f t="shared" si="29"/>
        <v>#N/A</v>
      </c>
      <c r="F95" s="143" t="e">
        <f t="shared" si="30"/>
        <v>#N/A</v>
      </c>
      <c r="G95" s="144" t="e">
        <f t="shared" si="31"/>
        <v>#N/A</v>
      </c>
      <c r="H95" s="142" t="e">
        <f t="shared" si="32"/>
        <v>#N/A</v>
      </c>
      <c r="I95" s="143" t="e">
        <f t="shared" si="33"/>
        <v>#N/A</v>
      </c>
      <c r="J95" s="143" t="e">
        <f t="shared" si="34"/>
        <v>#N/A</v>
      </c>
      <c r="K95" s="143" t="e">
        <f t="shared" si="35"/>
        <v>#N/A</v>
      </c>
      <c r="L95" s="143" t="e">
        <f t="shared" si="36"/>
        <v>#N/A</v>
      </c>
      <c r="M95" s="144" t="e">
        <f t="shared" si="37"/>
        <v>#N/A</v>
      </c>
    </row>
    <row r="96" spans="1:13" x14ac:dyDescent="0.25">
      <c r="A96" s="20" t="e">
        <f t="shared" si="38"/>
        <v>#N/A</v>
      </c>
      <c r="B96" s="142" t="e">
        <f t="shared" si="26"/>
        <v>#N/A</v>
      </c>
      <c r="C96" s="143" t="e">
        <f t="shared" si="27"/>
        <v>#N/A</v>
      </c>
      <c r="D96" s="143" t="e">
        <f t="shared" si="28"/>
        <v>#N/A</v>
      </c>
      <c r="E96" s="143" t="e">
        <f t="shared" si="29"/>
        <v>#N/A</v>
      </c>
      <c r="F96" s="143" t="e">
        <f t="shared" si="30"/>
        <v>#N/A</v>
      </c>
      <c r="G96" s="144" t="e">
        <f t="shared" si="31"/>
        <v>#N/A</v>
      </c>
      <c r="H96" s="142" t="e">
        <f t="shared" si="32"/>
        <v>#N/A</v>
      </c>
      <c r="I96" s="143" t="e">
        <f t="shared" si="33"/>
        <v>#N/A</v>
      </c>
      <c r="J96" s="143" t="e">
        <f t="shared" si="34"/>
        <v>#N/A</v>
      </c>
      <c r="K96" s="143" t="e">
        <f t="shared" si="35"/>
        <v>#N/A</v>
      </c>
      <c r="L96" s="143" t="e">
        <f t="shared" si="36"/>
        <v>#N/A</v>
      </c>
      <c r="M96" s="144" t="e">
        <f t="shared" si="37"/>
        <v>#N/A</v>
      </c>
    </row>
    <row r="97" spans="1:13" x14ac:dyDescent="0.25">
      <c r="A97" s="20" t="e">
        <f t="shared" si="38"/>
        <v>#N/A</v>
      </c>
      <c r="B97" s="142" t="e">
        <f t="shared" si="26"/>
        <v>#N/A</v>
      </c>
      <c r="C97" s="143" t="e">
        <f t="shared" si="27"/>
        <v>#N/A</v>
      </c>
      <c r="D97" s="143" t="e">
        <f t="shared" si="28"/>
        <v>#N/A</v>
      </c>
      <c r="E97" s="143" t="e">
        <f t="shared" si="29"/>
        <v>#N/A</v>
      </c>
      <c r="F97" s="143" t="e">
        <f t="shared" si="30"/>
        <v>#N/A</v>
      </c>
      <c r="G97" s="144" t="e">
        <f t="shared" si="31"/>
        <v>#N/A</v>
      </c>
      <c r="H97" s="142" t="e">
        <f t="shared" si="32"/>
        <v>#N/A</v>
      </c>
      <c r="I97" s="143" t="e">
        <f t="shared" si="33"/>
        <v>#N/A</v>
      </c>
      <c r="J97" s="143" t="e">
        <f t="shared" si="34"/>
        <v>#N/A</v>
      </c>
      <c r="K97" s="143" t="e">
        <f t="shared" si="35"/>
        <v>#N/A</v>
      </c>
      <c r="L97" s="143" t="e">
        <f t="shared" si="36"/>
        <v>#N/A</v>
      </c>
      <c r="M97" s="144" t="e">
        <f t="shared" si="37"/>
        <v>#N/A</v>
      </c>
    </row>
    <row r="98" spans="1:13" x14ac:dyDescent="0.25">
      <c r="A98" s="20" t="e">
        <f t="shared" si="38"/>
        <v>#N/A</v>
      </c>
      <c r="B98" s="142" t="e">
        <f t="shared" si="26"/>
        <v>#N/A</v>
      </c>
      <c r="C98" s="143" t="e">
        <f t="shared" si="27"/>
        <v>#N/A</v>
      </c>
      <c r="D98" s="143" t="e">
        <f t="shared" si="28"/>
        <v>#N/A</v>
      </c>
      <c r="E98" s="143" t="e">
        <f t="shared" si="29"/>
        <v>#N/A</v>
      </c>
      <c r="F98" s="143" t="e">
        <f t="shared" si="30"/>
        <v>#N/A</v>
      </c>
      <c r="G98" s="144" t="e">
        <f t="shared" si="31"/>
        <v>#N/A</v>
      </c>
      <c r="H98" s="142" t="e">
        <f t="shared" si="32"/>
        <v>#N/A</v>
      </c>
      <c r="I98" s="143" t="e">
        <f t="shared" si="33"/>
        <v>#N/A</v>
      </c>
      <c r="J98" s="143" t="e">
        <f t="shared" si="34"/>
        <v>#N/A</v>
      </c>
      <c r="K98" s="143" t="e">
        <f t="shared" si="35"/>
        <v>#N/A</v>
      </c>
      <c r="L98" s="143" t="e">
        <f t="shared" si="36"/>
        <v>#N/A</v>
      </c>
      <c r="M98" s="144" t="e">
        <f t="shared" si="37"/>
        <v>#N/A</v>
      </c>
    </row>
    <row r="99" spans="1:13" x14ac:dyDescent="0.25">
      <c r="A99" s="20" t="e">
        <f t="shared" si="38"/>
        <v>#N/A</v>
      </c>
      <c r="B99" s="142" t="e">
        <f t="shared" si="26"/>
        <v>#N/A</v>
      </c>
      <c r="C99" s="143" t="e">
        <f t="shared" si="27"/>
        <v>#N/A</v>
      </c>
      <c r="D99" s="143" t="e">
        <f t="shared" si="28"/>
        <v>#N/A</v>
      </c>
      <c r="E99" s="143" t="e">
        <f t="shared" si="29"/>
        <v>#N/A</v>
      </c>
      <c r="F99" s="143" t="e">
        <f t="shared" si="30"/>
        <v>#N/A</v>
      </c>
      <c r="G99" s="144" t="e">
        <f t="shared" si="31"/>
        <v>#N/A</v>
      </c>
      <c r="H99" s="142" t="e">
        <f t="shared" si="32"/>
        <v>#N/A</v>
      </c>
      <c r="I99" s="143" t="e">
        <f t="shared" si="33"/>
        <v>#N/A</v>
      </c>
      <c r="J99" s="143" t="e">
        <f t="shared" si="34"/>
        <v>#N/A</v>
      </c>
      <c r="K99" s="143" t="e">
        <f t="shared" si="35"/>
        <v>#N/A</v>
      </c>
      <c r="L99" s="143" t="e">
        <f t="shared" si="36"/>
        <v>#N/A</v>
      </c>
      <c r="M99" s="144" t="e">
        <f t="shared" si="37"/>
        <v>#N/A</v>
      </c>
    </row>
    <row r="100" spans="1:13" x14ac:dyDescent="0.25">
      <c r="A100" s="20" t="e">
        <f t="shared" si="38"/>
        <v>#N/A</v>
      </c>
      <c r="B100" s="142" t="e">
        <f t="shared" ref="B100:B131" si="39">IF(Load_Case=1,(FA_SUS*1000/(2*3.14*A100*0.001*0.5)),NA())</f>
        <v>#N/A</v>
      </c>
      <c r="C100" s="143" t="e">
        <f t="shared" ref="C100:C131" si="40">IF(Load_Case=1,((FL_SUS*H_Trunnion)/(3.14*((A100*0.5)*0.001)^2)),NA())</f>
        <v>#N/A</v>
      </c>
      <c r="D100" s="143" t="e">
        <f t="shared" ref="D100:D131" si="41">IF(Load_Case=1,((FC_SUS*H_Trunnion)/(3.14*((A100*0.5)*0.001)^2)),NA())</f>
        <v>#N/A</v>
      </c>
      <c r="E100" s="143" t="e">
        <f t="shared" ref="E100:E131" si="42">1.5*B100+SQRT(C100^2+(D100*1.5)^2)</f>
        <v>#N/A</v>
      </c>
      <c r="F100" s="143" t="e">
        <f t="shared" ref="F100:F131" si="43">IF(SL_Trunnion,(1.17*E100*SQRT(0.5*D*0.001))*0.000001/((tnet_TRUNNION*0.001)^1.5),NA())</f>
        <v>#N/A</v>
      </c>
      <c r="G100" s="144" t="e">
        <f t="shared" ref="G100:G131" si="44">IF(SC_Trunnion,(0.643*E100*SQRT((D*0.5)*0.001))*0.000001/((tnet_TRUNNION*0.001)^1.5),NA())</f>
        <v>#N/A</v>
      </c>
      <c r="H100" s="142" t="e">
        <f t="shared" ref="H100:H131" si="45">IF(Load_Case=2,(FA_EXP*1000/(2*3.14*A100*0.001*0.5)),NA())</f>
        <v>#N/A</v>
      </c>
      <c r="I100" s="143" t="e">
        <f t="shared" ref="I100:I131" si="46">IF(Load_Case=2,((FL_EXP*H_Trunnion)/(3.14*((A100*0.5)*0.001)^2)),NA())</f>
        <v>#N/A</v>
      </c>
      <c r="J100" s="143" t="e">
        <f t="shared" ref="J100:J131" si="47">IF(Load_Case=2,((FC_EXP*H_Trunnion)/(3.14*((A100*0.5)*0.001)^2)),NA())</f>
        <v>#N/A</v>
      </c>
      <c r="K100" s="143" t="e">
        <f t="shared" ref="K100:K131" si="48">1.5*H100+SQRT(I100^2+(J100*1.5)^2)</f>
        <v>#N/A</v>
      </c>
      <c r="L100" s="143" t="e">
        <f t="shared" ref="L100:L131" si="49">IF(SL_Trunnion,(1.17*K100*SQRT(0.5*D*0.001))*0.000001/((tnet_TRUNNION*0.001)^1.5),NA())</f>
        <v>#N/A</v>
      </c>
      <c r="M100" s="144" t="e">
        <f t="shared" ref="M100:M131" si="50">IF(SC_Trunnion,(0.643*K100*SQRT((D*0.5)*0.001))*0.000001/((tnet_TRUNNION*0.001)^1.5),NA())</f>
        <v>#N/A</v>
      </c>
    </row>
    <row r="101" spans="1:13" x14ac:dyDescent="0.25">
      <c r="A101" s="20" t="e">
        <f t="shared" ref="A101:A132" si="51">IF((A100+d_Trunnion_Increment)&gt;Max_Trunnion_diameter,NA(),A100+d_Trunnion_Increment)</f>
        <v>#N/A</v>
      </c>
      <c r="B101" s="142" t="e">
        <f t="shared" si="39"/>
        <v>#N/A</v>
      </c>
      <c r="C101" s="143" t="e">
        <f t="shared" si="40"/>
        <v>#N/A</v>
      </c>
      <c r="D101" s="143" t="e">
        <f t="shared" si="41"/>
        <v>#N/A</v>
      </c>
      <c r="E101" s="143" t="e">
        <f t="shared" si="42"/>
        <v>#N/A</v>
      </c>
      <c r="F101" s="143" t="e">
        <f t="shared" si="43"/>
        <v>#N/A</v>
      </c>
      <c r="G101" s="144" t="e">
        <f t="shared" si="44"/>
        <v>#N/A</v>
      </c>
      <c r="H101" s="142" t="e">
        <f t="shared" si="45"/>
        <v>#N/A</v>
      </c>
      <c r="I101" s="143" t="e">
        <f t="shared" si="46"/>
        <v>#N/A</v>
      </c>
      <c r="J101" s="143" t="e">
        <f t="shared" si="47"/>
        <v>#N/A</v>
      </c>
      <c r="K101" s="143" t="e">
        <f t="shared" si="48"/>
        <v>#N/A</v>
      </c>
      <c r="L101" s="143" t="e">
        <f t="shared" si="49"/>
        <v>#N/A</v>
      </c>
      <c r="M101" s="144" t="e">
        <f t="shared" si="50"/>
        <v>#N/A</v>
      </c>
    </row>
    <row r="102" spans="1:13" x14ac:dyDescent="0.25">
      <c r="A102" s="20" t="e">
        <f t="shared" si="51"/>
        <v>#N/A</v>
      </c>
      <c r="B102" s="142" t="e">
        <f t="shared" si="39"/>
        <v>#N/A</v>
      </c>
      <c r="C102" s="143" t="e">
        <f t="shared" si="40"/>
        <v>#N/A</v>
      </c>
      <c r="D102" s="143" t="e">
        <f t="shared" si="41"/>
        <v>#N/A</v>
      </c>
      <c r="E102" s="143" t="e">
        <f t="shared" si="42"/>
        <v>#N/A</v>
      </c>
      <c r="F102" s="143" t="e">
        <f t="shared" si="43"/>
        <v>#N/A</v>
      </c>
      <c r="G102" s="144" t="e">
        <f t="shared" si="44"/>
        <v>#N/A</v>
      </c>
      <c r="H102" s="142" t="e">
        <f t="shared" si="45"/>
        <v>#N/A</v>
      </c>
      <c r="I102" s="143" t="e">
        <f t="shared" si="46"/>
        <v>#N/A</v>
      </c>
      <c r="J102" s="143" t="e">
        <f t="shared" si="47"/>
        <v>#N/A</v>
      </c>
      <c r="K102" s="143" t="e">
        <f t="shared" si="48"/>
        <v>#N/A</v>
      </c>
      <c r="L102" s="143" t="e">
        <f t="shared" si="49"/>
        <v>#N/A</v>
      </c>
      <c r="M102" s="144" t="e">
        <f t="shared" si="50"/>
        <v>#N/A</v>
      </c>
    </row>
    <row r="103" spans="1:13" x14ac:dyDescent="0.25">
      <c r="A103" s="20" t="e">
        <f t="shared" si="51"/>
        <v>#N/A</v>
      </c>
      <c r="B103" s="142" t="e">
        <f t="shared" si="39"/>
        <v>#N/A</v>
      </c>
      <c r="C103" s="143" t="e">
        <f t="shared" si="40"/>
        <v>#N/A</v>
      </c>
      <c r="D103" s="143" t="e">
        <f t="shared" si="41"/>
        <v>#N/A</v>
      </c>
      <c r="E103" s="143" t="e">
        <f t="shared" si="42"/>
        <v>#N/A</v>
      </c>
      <c r="F103" s="143" t="e">
        <f t="shared" si="43"/>
        <v>#N/A</v>
      </c>
      <c r="G103" s="144" t="e">
        <f t="shared" si="44"/>
        <v>#N/A</v>
      </c>
      <c r="H103" s="142" t="e">
        <f t="shared" si="45"/>
        <v>#N/A</v>
      </c>
      <c r="I103" s="143" t="e">
        <f t="shared" si="46"/>
        <v>#N/A</v>
      </c>
      <c r="J103" s="143" t="e">
        <f t="shared" si="47"/>
        <v>#N/A</v>
      </c>
      <c r="K103" s="143" t="e">
        <f t="shared" si="48"/>
        <v>#N/A</v>
      </c>
      <c r="L103" s="143" t="e">
        <f t="shared" si="49"/>
        <v>#N/A</v>
      </c>
      <c r="M103" s="144" t="e">
        <f t="shared" si="50"/>
        <v>#N/A</v>
      </c>
    </row>
    <row r="104" spans="1:13" x14ac:dyDescent="0.25">
      <c r="A104" s="20" t="e">
        <f t="shared" si="51"/>
        <v>#N/A</v>
      </c>
      <c r="B104" s="142" t="e">
        <f t="shared" si="39"/>
        <v>#N/A</v>
      </c>
      <c r="C104" s="143" t="e">
        <f t="shared" si="40"/>
        <v>#N/A</v>
      </c>
      <c r="D104" s="143" t="e">
        <f t="shared" si="41"/>
        <v>#N/A</v>
      </c>
      <c r="E104" s="143" t="e">
        <f t="shared" si="42"/>
        <v>#N/A</v>
      </c>
      <c r="F104" s="143" t="e">
        <f t="shared" si="43"/>
        <v>#N/A</v>
      </c>
      <c r="G104" s="144" t="e">
        <f t="shared" si="44"/>
        <v>#N/A</v>
      </c>
      <c r="H104" s="142" t="e">
        <f t="shared" si="45"/>
        <v>#N/A</v>
      </c>
      <c r="I104" s="143" t="e">
        <f t="shared" si="46"/>
        <v>#N/A</v>
      </c>
      <c r="J104" s="143" t="e">
        <f t="shared" si="47"/>
        <v>#N/A</v>
      </c>
      <c r="K104" s="143" t="e">
        <f t="shared" si="48"/>
        <v>#N/A</v>
      </c>
      <c r="L104" s="143" t="e">
        <f t="shared" si="49"/>
        <v>#N/A</v>
      </c>
      <c r="M104" s="144" t="e">
        <f t="shared" si="50"/>
        <v>#N/A</v>
      </c>
    </row>
    <row r="105" spans="1:13" x14ac:dyDescent="0.25">
      <c r="A105" s="20" t="e">
        <f t="shared" si="51"/>
        <v>#N/A</v>
      </c>
      <c r="B105" s="142" t="e">
        <f t="shared" si="39"/>
        <v>#N/A</v>
      </c>
      <c r="C105" s="143" t="e">
        <f t="shared" si="40"/>
        <v>#N/A</v>
      </c>
      <c r="D105" s="143" t="e">
        <f t="shared" si="41"/>
        <v>#N/A</v>
      </c>
      <c r="E105" s="143" t="e">
        <f t="shared" si="42"/>
        <v>#N/A</v>
      </c>
      <c r="F105" s="143" t="e">
        <f t="shared" si="43"/>
        <v>#N/A</v>
      </c>
      <c r="G105" s="144" t="e">
        <f t="shared" si="44"/>
        <v>#N/A</v>
      </c>
      <c r="H105" s="142" t="e">
        <f t="shared" si="45"/>
        <v>#N/A</v>
      </c>
      <c r="I105" s="143" t="e">
        <f t="shared" si="46"/>
        <v>#N/A</v>
      </c>
      <c r="J105" s="143" t="e">
        <f t="shared" si="47"/>
        <v>#N/A</v>
      </c>
      <c r="K105" s="143" t="e">
        <f t="shared" si="48"/>
        <v>#N/A</v>
      </c>
      <c r="L105" s="143" t="e">
        <f t="shared" si="49"/>
        <v>#N/A</v>
      </c>
      <c r="M105" s="144" t="e">
        <f t="shared" si="50"/>
        <v>#N/A</v>
      </c>
    </row>
    <row r="106" spans="1:13" x14ac:dyDescent="0.25">
      <c r="A106" s="20" t="e">
        <f t="shared" si="51"/>
        <v>#N/A</v>
      </c>
      <c r="B106" s="142" t="e">
        <f t="shared" si="39"/>
        <v>#N/A</v>
      </c>
      <c r="C106" s="143" t="e">
        <f t="shared" si="40"/>
        <v>#N/A</v>
      </c>
      <c r="D106" s="143" t="e">
        <f t="shared" si="41"/>
        <v>#N/A</v>
      </c>
      <c r="E106" s="143" t="e">
        <f t="shared" si="42"/>
        <v>#N/A</v>
      </c>
      <c r="F106" s="143" t="e">
        <f t="shared" si="43"/>
        <v>#N/A</v>
      </c>
      <c r="G106" s="144" t="e">
        <f t="shared" si="44"/>
        <v>#N/A</v>
      </c>
      <c r="H106" s="142" t="e">
        <f t="shared" si="45"/>
        <v>#N/A</v>
      </c>
      <c r="I106" s="143" t="e">
        <f t="shared" si="46"/>
        <v>#N/A</v>
      </c>
      <c r="J106" s="143" t="e">
        <f t="shared" si="47"/>
        <v>#N/A</v>
      </c>
      <c r="K106" s="143" t="e">
        <f t="shared" si="48"/>
        <v>#N/A</v>
      </c>
      <c r="L106" s="143" t="e">
        <f t="shared" si="49"/>
        <v>#N/A</v>
      </c>
      <c r="M106" s="144" t="e">
        <f t="shared" si="50"/>
        <v>#N/A</v>
      </c>
    </row>
    <row r="107" spans="1:13" x14ac:dyDescent="0.25">
      <c r="A107" s="20" t="e">
        <f t="shared" si="51"/>
        <v>#N/A</v>
      </c>
      <c r="B107" s="142" t="e">
        <f t="shared" si="39"/>
        <v>#N/A</v>
      </c>
      <c r="C107" s="143" t="e">
        <f t="shared" si="40"/>
        <v>#N/A</v>
      </c>
      <c r="D107" s="143" t="e">
        <f t="shared" si="41"/>
        <v>#N/A</v>
      </c>
      <c r="E107" s="143" t="e">
        <f t="shared" si="42"/>
        <v>#N/A</v>
      </c>
      <c r="F107" s="143" t="e">
        <f t="shared" si="43"/>
        <v>#N/A</v>
      </c>
      <c r="G107" s="144" t="e">
        <f t="shared" si="44"/>
        <v>#N/A</v>
      </c>
      <c r="H107" s="142" t="e">
        <f t="shared" si="45"/>
        <v>#N/A</v>
      </c>
      <c r="I107" s="143" t="e">
        <f t="shared" si="46"/>
        <v>#N/A</v>
      </c>
      <c r="J107" s="143" t="e">
        <f t="shared" si="47"/>
        <v>#N/A</v>
      </c>
      <c r="K107" s="143" t="e">
        <f t="shared" si="48"/>
        <v>#N/A</v>
      </c>
      <c r="L107" s="143" t="e">
        <f t="shared" si="49"/>
        <v>#N/A</v>
      </c>
      <c r="M107" s="144" t="e">
        <f t="shared" si="50"/>
        <v>#N/A</v>
      </c>
    </row>
    <row r="108" spans="1:13" x14ac:dyDescent="0.25">
      <c r="A108" s="20" t="e">
        <f t="shared" si="51"/>
        <v>#N/A</v>
      </c>
      <c r="B108" s="142" t="e">
        <f t="shared" si="39"/>
        <v>#N/A</v>
      </c>
      <c r="C108" s="143" t="e">
        <f t="shared" si="40"/>
        <v>#N/A</v>
      </c>
      <c r="D108" s="143" t="e">
        <f t="shared" si="41"/>
        <v>#N/A</v>
      </c>
      <c r="E108" s="143" t="e">
        <f t="shared" si="42"/>
        <v>#N/A</v>
      </c>
      <c r="F108" s="143" t="e">
        <f t="shared" si="43"/>
        <v>#N/A</v>
      </c>
      <c r="G108" s="144" t="e">
        <f t="shared" si="44"/>
        <v>#N/A</v>
      </c>
      <c r="H108" s="142" t="e">
        <f t="shared" si="45"/>
        <v>#N/A</v>
      </c>
      <c r="I108" s="143" t="e">
        <f t="shared" si="46"/>
        <v>#N/A</v>
      </c>
      <c r="J108" s="143" t="e">
        <f t="shared" si="47"/>
        <v>#N/A</v>
      </c>
      <c r="K108" s="143" t="e">
        <f t="shared" si="48"/>
        <v>#N/A</v>
      </c>
      <c r="L108" s="143" t="e">
        <f t="shared" si="49"/>
        <v>#N/A</v>
      </c>
      <c r="M108" s="144" t="e">
        <f t="shared" si="50"/>
        <v>#N/A</v>
      </c>
    </row>
    <row r="109" spans="1:13" x14ac:dyDescent="0.25">
      <c r="A109" s="20" t="e">
        <f t="shared" si="51"/>
        <v>#N/A</v>
      </c>
      <c r="B109" s="142" t="e">
        <f t="shared" si="39"/>
        <v>#N/A</v>
      </c>
      <c r="C109" s="143" t="e">
        <f t="shared" si="40"/>
        <v>#N/A</v>
      </c>
      <c r="D109" s="143" t="e">
        <f t="shared" si="41"/>
        <v>#N/A</v>
      </c>
      <c r="E109" s="143" t="e">
        <f t="shared" si="42"/>
        <v>#N/A</v>
      </c>
      <c r="F109" s="143" t="e">
        <f t="shared" si="43"/>
        <v>#N/A</v>
      </c>
      <c r="G109" s="144" t="e">
        <f t="shared" si="44"/>
        <v>#N/A</v>
      </c>
      <c r="H109" s="142" t="e">
        <f t="shared" si="45"/>
        <v>#N/A</v>
      </c>
      <c r="I109" s="143" t="e">
        <f t="shared" si="46"/>
        <v>#N/A</v>
      </c>
      <c r="J109" s="143" t="e">
        <f t="shared" si="47"/>
        <v>#N/A</v>
      </c>
      <c r="K109" s="143" t="e">
        <f t="shared" si="48"/>
        <v>#N/A</v>
      </c>
      <c r="L109" s="143" t="e">
        <f t="shared" si="49"/>
        <v>#N/A</v>
      </c>
      <c r="M109" s="144" t="e">
        <f t="shared" si="50"/>
        <v>#N/A</v>
      </c>
    </row>
    <row r="110" spans="1:13" x14ac:dyDescent="0.25">
      <c r="A110" s="20" t="e">
        <f t="shared" si="51"/>
        <v>#N/A</v>
      </c>
      <c r="B110" s="142" t="e">
        <f t="shared" si="39"/>
        <v>#N/A</v>
      </c>
      <c r="C110" s="143" t="e">
        <f t="shared" si="40"/>
        <v>#N/A</v>
      </c>
      <c r="D110" s="143" t="e">
        <f t="shared" si="41"/>
        <v>#N/A</v>
      </c>
      <c r="E110" s="143" t="e">
        <f t="shared" si="42"/>
        <v>#N/A</v>
      </c>
      <c r="F110" s="143" t="e">
        <f t="shared" si="43"/>
        <v>#N/A</v>
      </c>
      <c r="G110" s="144" t="e">
        <f t="shared" si="44"/>
        <v>#N/A</v>
      </c>
      <c r="H110" s="142" t="e">
        <f t="shared" si="45"/>
        <v>#N/A</v>
      </c>
      <c r="I110" s="143" t="e">
        <f t="shared" si="46"/>
        <v>#N/A</v>
      </c>
      <c r="J110" s="143" t="e">
        <f t="shared" si="47"/>
        <v>#N/A</v>
      </c>
      <c r="K110" s="143" t="e">
        <f t="shared" si="48"/>
        <v>#N/A</v>
      </c>
      <c r="L110" s="143" t="e">
        <f t="shared" si="49"/>
        <v>#N/A</v>
      </c>
      <c r="M110" s="144" t="e">
        <f t="shared" si="50"/>
        <v>#N/A</v>
      </c>
    </row>
    <row r="111" spans="1:13" x14ac:dyDescent="0.25">
      <c r="A111" s="20" t="e">
        <f t="shared" si="51"/>
        <v>#N/A</v>
      </c>
      <c r="B111" s="142" t="e">
        <f t="shared" si="39"/>
        <v>#N/A</v>
      </c>
      <c r="C111" s="143" t="e">
        <f t="shared" si="40"/>
        <v>#N/A</v>
      </c>
      <c r="D111" s="143" t="e">
        <f t="shared" si="41"/>
        <v>#N/A</v>
      </c>
      <c r="E111" s="143" t="e">
        <f t="shared" si="42"/>
        <v>#N/A</v>
      </c>
      <c r="F111" s="143" t="e">
        <f t="shared" si="43"/>
        <v>#N/A</v>
      </c>
      <c r="G111" s="144" t="e">
        <f t="shared" si="44"/>
        <v>#N/A</v>
      </c>
      <c r="H111" s="142" t="e">
        <f t="shared" si="45"/>
        <v>#N/A</v>
      </c>
      <c r="I111" s="143" t="e">
        <f t="shared" si="46"/>
        <v>#N/A</v>
      </c>
      <c r="J111" s="143" t="e">
        <f t="shared" si="47"/>
        <v>#N/A</v>
      </c>
      <c r="K111" s="143" t="e">
        <f t="shared" si="48"/>
        <v>#N/A</v>
      </c>
      <c r="L111" s="143" t="e">
        <f t="shared" si="49"/>
        <v>#N/A</v>
      </c>
      <c r="M111" s="144" t="e">
        <f t="shared" si="50"/>
        <v>#N/A</v>
      </c>
    </row>
    <row r="112" spans="1:13" x14ac:dyDescent="0.25">
      <c r="A112" s="20" t="e">
        <f t="shared" si="51"/>
        <v>#N/A</v>
      </c>
      <c r="B112" s="142" t="e">
        <f t="shared" si="39"/>
        <v>#N/A</v>
      </c>
      <c r="C112" s="143" t="e">
        <f t="shared" si="40"/>
        <v>#N/A</v>
      </c>
      <c r="D112" s="143" t="e">
        <f t="shared" si="41"/>
        <v>#N/A</v>
      </c>
      <c r="E112" s="143" t="e">
        <f t="shared" si="42"/>
        <v>#N/A</v>
      </c>
      <c r="F112" s="143" t="e">
        <f t="shared" si="43"/>
        <v>#N/A</v>
      </c>
      <c r="G112" s="144" t="e">
        <f t="shared" si="44"/>
        <v>#N/A</v>
      </c>
      <c r="H112" s="142" t="e">
        <f t="shared" si="45"/>
        <v>#N/A</v>
      </c>
      <c r="I112" s="143" t="e">
        <f t="shared" si="46"/>
        <v>#N/A</v>
      </c>
      <c r="J112" s="143" t="e">
        <f t="shared" si="47"/>
        <v>#N/A</v>
      </c>
      <c r="K112" s="143" t="e">
        <f t="shared" si="48"/>
        <v>#N/A</v>
      </c>
      <c r="L112" s="143" t="e">
        <f t="shared" si="49"/>
        <v>#N/A</v>
      </c>
      <c r="M112" s="144" t="e">
        <f t="shared" si="50"/>
        <v>#N/A</v>
      </c>
    </row>
    <row r="113" spans="1:13" x14ac:dyDescent="0.25">
      <c r="A113" s="20" t="e">
        <f t="shared" si="51"/>
        <v>#N/A</v>
      </c>
      <c r="B113" s="142" t="e">
        <f t="shared" si="39"/>
        <v>#N/A</v>
      </c>
      <c r="C113" s="143" t="e">
        <f t="shared" si="40"/>
        <v>#N/A</v>
      </c>
      <c r="D113" s="143" t="e">
        <f t="shared" si="41"/>
        <v>#N/A</v>
      </c>
      <c r="E113" s="143" t="e">
        <f t="shared" si="42"/>
        <v>#N/A</v>
      </c>
      <c r="F113" s="143" t="e">
        <f t="shared" si="43"/>
        <v>#N/A</v>
      </c>
      <c r="G113" s="144" t="e">
        <f t="shared" si="44"/>
        <v>#N/A</v>
      </c>
      <c r="H113" s="142" t="e">
        <f t="shared" si="45"/>
        <v>#N/A</v>
      </c>
      <c r="I113" s="143" t="e">
        <f t="shared" si="46"/>
        <v>#N/A</v>
      </c>
      <c r="J113" s="143" t="e">
        <f t="shared" si="47"/>
        <v>#N/A</v>
      </c>
      <c r="K113" s="143" t="e">
        <f t="shared" si="48"/>
        <v>#N/A</v>
      </c>
      <c r="L113" s="143" t="e">
        <f t="shared" si="49"/>
        <v>#N/A</v>
      </c>
      <c r="M113" s="144" t="e">
        <f t="shared" si="50"/>
        <v>#N/A</v>
      </c>
    </row>
    <row r="114" spans="1:13" x14ac:dyDescent="0.25">
      <c r="A114" s="20" t="e">
        <f t="shared" si="51"/>
        <v>#N/A</v>
      </c>
      <c r="B114" s="142" t="e">
        <f t="shared" si="39"/>
        <v>#N/A</v>
      </c>
      <c r="C114" s="143" t="e">
        <f t="shared" si="40"/>
        <v>#N/A</v>
      </c>
      <c r="D114" s="143" t="e">
        <f t="shared" si="41"/>
        <v>#N/A</v>
      </c>
      <c r="E114" s="143" t="e">
        <f t="shared" si="42"/>
        <v>#N/A</v>
      </c>
      <c r="F114" s="143" t="e">
        <f t="shared" si="43"/>
        <v>#N/A</v>
      </c>
      <c r="G114" s="144" t="e">
        <f t="shared" si="44"/>
        <v>#N/A</v>
      </c>
      <c r="H114" s="142" t="e">
        <f t="shared" si="45"/>
        <v>#N/A</v>
      </c>
      <c r="I114" s="143" t="e">
        <f t="shared" si="46"/>
        <v>#N/A</v>
      </c>
      <c r="J114" s="143" t="e">
        <f t="shared" si="47"/>
        <v>#N/A</v>
      </c>
      <c r="K114" s="143" t="e">
        <f t="shared" si="48"/>
        <v>#N/A</v>
      </c>
      <c r="L114" s="143" t="e">
        <f t="shared" si="49"/>
        <v>#N/A</v>
      </c>
      <c r="M114" s="144" t="e">
        <f t="shared" si="50"/>
        <v>#N/A</v>
      </c>
    </row>
    <row r="115" spans="1:13" x14ac:dyDescent="0.25">
      <c r="A115" s="20" t="e">
        <f t="shared" si="51"/>
        <v>#N/A</v>
      </c>
      <c r="B115" s="142" t="e">
        <f t="shared" si="39"/>
        <v>#N/A</v>
      </c>
      <c r="C115" s="143" t="e">
        <f t="shared" si="40"/>
        <v>#N/A</v>
      </c>
      <c r="D115" s="143" t="e">
        <f t="shared" si="41"/>
        <v>#N/A</v>
      </c>
      <c r="E115" s="143" t="e">
        <f t="shared" si="42"/>
        <v>#N/A</v>
      </c>
      <c r="F115" s="143" t="e">
        <f t="shared" si="43"/>
        <v>#N/A</v>
      </c>
      <c r="G115" s="144" t="e">
        <f t="shared" si="44"/>
        <v>#N/A</v>
      </c>
      <c r="H115" s="142" t="e">
        <f t="shared" si="45"/>
        <v>#N/A</v>
      </c>
      <c r="I115" s="143" t="e">
        <f t="shared" si="46"/>
        <v>#N/A</v>
      </c>
      <c r="J115" s="143" t="e">
        <f t="shared" si="47"/>
        <v>#N/A</v>
      </c>
      <c r="K115" s="143" t="e">
        <f t="shared" si="48"/>
        <v>#N/A</v>
      </c>
      <c r="L115" s="143" t="e">
        <f t="shared" si="49"/>
        <v>#N/A</v>
      </c>
      <c r="M115" s="144" t="e">
        <f t="shared" si="50"/>
        <v>#N/A</v>
      </c>
    </row>
    <row r="116" spans="1:13" x14ac:dyDescent="0.25">
      <c r="A116" s="20" t="e">
        <f t="shared" si="51"/>
        <v>#N/A</v>
      </c>
      <c r="B116" s="142" t="e">
        <f t="shared" si="39"/>
        <v>#N/A</v>
      </c>
      <c r="C116" s="143" t="e">
        <f t="shared" si="40"/>
        <v>#N/A</v>
      </c>
      <c r="D116" s="143" t="e">
        <f t="shared" si="41"/>
        <v>#N/A</v>
      </c>
      <c r="E116" s="143" t="e">
        <f t="shared" si="42"/>
        <v>#N/A</v>
      </c>
      <c r="F116" s="143" t="e">
        <f t="shared" si="43"/>
        <v>#N/A</v>
      </c>
      <c r="G116" s="144" t="e">
        <f t="shared" si="44"/>
        <v>#N/A</v>
      </c>
      <c r="H116" s="142" t="e">
        <f t="shared" si="45"/>
        <v>#N/A</v>
      </c>
      <c r="I116" s="143" t="e">
        <f t="shared" si="46"/>
        <v>#N/A</v>
      </c>
      <c r="J116" s="143" t="e">
        <f t="shared" si="47"/>
        <v>#N/A</v>
      </c>
      <c r="K116" s="143" t="e">
        <f t="shared" si="48"/>
        <v>#N/A</v>
      </c>
      <c r="L116" s="143" t="e">
        <f t="shared" si="49"/>
        <v>#N/A</v>
      </c>
      <c r="M116" s="144" t="e">
        <f t="shared" si="50"/>
        <v>#N/A</v>
      </c>
    </row>
    <row r="117" spans="1:13" x14ac:dyDescent="0.25">
      <c r="A117" s="20" t="e">
        <f t="shared" si="51"/>
        <v>#N/A</v>
      </c>
      <c r="B117" s="142" t="e">
        <f t="shared" si="39"/>
        <v>#N/A</v>
      </c>
      <c r="C117" s="143" t="e">
        <f t="shared" si="40"/>
        <v>#N/A</v>
      </c>
      <c r="D117" s="143" t="e">
        <f t="shared" si="41"/>
        <v>#N/A</v>
      </c>
      <c r="E117" s="143" t="e">
        <f t="shared" si="42"/>
        <v>#N/A</v>
      </c>
      <c r="F117" s="143" t="e">
        <f t="shared" si="43"/>
        <v>#N/A</v>
      </c>
      <c r="G117" s="144" t="e">
        <f t="shared" si="44"/>
        <v>#N/A</v>
      </c>
      <c r="H117" s="142" t="e">
        <f t="shared" si="45"/>
        <v>#N/A</v>
      </c>
      <c r="I117" s="143" t="e">
        <f t="shared" si="46"/>
        <v>#N/A</v>
      </c>
      <c r="J117" s="143" t="e">
        <f t="shared" si="47"/>
        <v>#N/A</v>
      </c>
      <c r="K117" s="143" t="e">
        <f t="shared" si="48"/>
        <v>#N/A</v>
      </c>
      <c r="L117" s="143" t="e">
        <f t="shared" si="49"/>
        <v>#N/A</v>
      </c>
      <c r="M117" s="144" t="e">
        <f t="shared" si="50"/>
        <v>#N/A</v>
      </c>
    </row>
    <row r="118" spans="1:13" x14ac:dyDescent="0.25">
      <c r="A118" s="20" t="e">
        <f t="shared" si="51"/>
        <v>#N/A</v>
      </c>
      <c r="B118" s="142" t="e">
        <f t="shared" si="39"/>
        <v>#N/A</v>
      </c>
      <c r="C118" s="143" t="e">
        <f t="shared" si="40"/>
        <v>#N/A</v>
      </c>
      <c r="D118" s="143" t="e">
        <f t="shared" si="41"/>
        <v>#N/A</v>
      </c>
      <c r="E118" s="143" t="e">
        <f t="shared" si="42"/>
        <v>#N/A</v>
      </c>
      <c r="F118" s="143" t="e">
        <f t="shared" si="43"/>
        <v>#N/A</v>
      </c>
      <c r="G118" s="144" t="e">
        <f t="shared" si="44"/>
        <v>#N/A</v>
      </c>
      <c r="H118" s="142" t="e">
        <f t="shared" si="45"/>
        <v>#N/A</v>
      </c>
      <c r="I118" s="143" t="e">
        <f t="shared" si="46"/>
        <v>#N/A</v>
      </c>
      <c r="J118" s="143" t="e">
        <f t="shared" si="47"/>
        <v>#N/A</v>
      </c>
      <c r="K118" s="143" t="e">
        <f t="shared" si="48"/>
        <v>#N/A</v>
      </c>
      <c r="L118" s="143" t="e">
        <f t="shared" si="49"/>
        <v>#N/A</v>
      </c>
      <c r="M118" s="144" t="e">
        <f t="shared" si="50"/>
        <v>#N/A</v>
      </c>
    </row>
    <row r="119" spans="1:13" x14ac:dyDescent="0.25">
      <c r="A119" s="20" t="e">
        <f t="shared" si="51"/>
        <v>#N/A</v>
      </c>
      <c r="B119" s="142" t="e">
        <f t="shared" si="39"/>
        <v>#N/A</v>
      </c>
      <c r="C119" s="143" t="e">
        <f t="shared" si="40"/>
        <v>#N/A</v>
      </c>
      <c r="D119" s="143" t="e">
        <f t="shared" si="41"/>
        <v>#N/A</v>
      </c>
      <c r="E119" s="143" t="e">
        <f t="shared" si="42"/>
        <v>#N/A</v>
      </c>
      <c r="F119" s="143" t="e">
        <f t="shared" si="43"/>
        <v>#N/A</v>
      </c>
      <c r="G119" s="144" t="e">
        <f t="shared" si="44"/>
        <v>#N/A</v>
      </c>
      <c r="H119" s="142" t="e">
        <f t="shared" si="45"/>
        <v>#N/A</v>
      </c>
      <c r="I119" s="143" t="e">
        <f t="shared" si="46"/>
        <v>#N/A</v>
      </c>
      <c r="J119" s="143" t="e">
        <f t="shared" si="47"/>
        <v>#N/A</v>
      </c>
      <c r="K119" s="143" t="e">
        <f t="shared" si="48"/>
        <v>#N/A</v>
      </c>
      <c r="L119" s="143" t="e">
        <f t="shared" si="49"/>
        <v>#N/A</v>
      </c>
      <c r="M119" s="144" t="e">
        <f t="shared" si="50"/>
        <v>#N/A</v>
      </c>
    </row>
    <row r="120" spans="1:13" x14ac:dyDescent="0.25">
      <c r="A120" s="20" t="e">
        <f t="shared" si="51"/>
        <v>#N/A</v>
      </c>
      <c r="B120" s="142" t="e">
        <f t="shared" si="39"/>
        <v>#N/A</v>
      </c>
      <c r="C120" s="143" t="e">
        <f t="shared" si="40"/>
        <v>#N/A</v>
      </c>
      <c r="D120" s="143" t="e">
        <f t="shared" si="41"/>
        <v>#N/A</v>
      </c>
      <c r="E120" s="143" t="e">
        <f t="shared" si="42"/>
        <v>#N/A</v>
      </c>
      <c r="F120" s="143" t="e">
        <f t="shared" si="43"/>
        <v>#N/A</v>
      </c>
      <c r="G120" s="144" t="e">
        <f t="shared" si="44"/>
        <v>#N/A</v>
      </c>
      <c r="H120" s="142" t="e">
        <f t="shared" si="45"/>
        <v>#N/A</v>
      </c>
      <c r="I120" s="143" t="e">
        <f t="shared" si="46"/>
        <v>#N/A</v>
      </c>
      <c r="J120" s="143" t="e">
        <f t="shared" si="47"/>
        <v>#N/A</v>
      </c>
      <c r="K120" s="143" t="e">
        <f t="shared" si="48"/>
        <v>#N/A</v>
      </c>
      <c r="L120" s="143" t="e">
        <f t="shared" si="49"/>
        <v>#N/A</v>
      </c>
      <c r="M120" s="144" t="e">
        <f t="shared" si="50"/>
        <v>#N/A</v>
      </c>
    </row>
    <row r="121" spans="1:13" x14ac:dyDescent="0.25">
      <c r="A121" s="20" t="e">
        <f t="shared" si="51"/>
        <v>#N/A</v>
      </c>
      <c r="B121" s="142" t="e">
        <f t="shared" si="39"/>
        <v>#N/A</v>
      </c>
      <c r="C121" s="143" t="e">
        <f t="shared" si="40"/>
        <v>#N/A</v>
      </c>
      <c r="D121" s="143" t="e">
        <f t="shared" si="41"/>
        <v>#N/A</v>
      </c>
      <c r="E121" s="143" t="e">
        <f t="shared" si="42"/>
        <v>#N/A</v>
      </c>
      <c r="F121" s="143" t="e">
        <f t="shared" si="43"/>
        <v>#N/A</v>
      </c>
      <c r="G121" s="144" t="e">
        <f t="shared" si="44"/>
        <v>#N/A</v>
      </c>
      <c r="H121" s="142" t="e">
        <f t="shared" si="45"/>
        <v>#N/A</v>
      </c>
      <c r="I121" s="143" t="e">
        <f t="shared" si="46"/>
        <v>#N/A</v>
      </c>
      <c r="J121" s="143" t="e">
        <f t="shared" si="47"/>
        <v>#N/A</v>
      </c>
      <c r="K121" s="143" t="e">
        <f t="shared" si="48"/>
        <v>#N/A</v>
      </c>
      <c r="L121" s="143" t="e">
        <f t="shared" si="49"/>
        <v>#N/A</v>
      </c>
      <c r="M121" s="144" t="e">
        <f t="shared" si="50"/>
        <v>#N/A</v>
      </c>
    </row>
    <row r="122" spans="1:13" x14ac:dyDescent="0.25">
      <c r="A122" s="20" t="e">
        <f t="shared" si="51"/>
        <v>#N/A</v>
      </c>
      <c r="B122" s="142" t="e">
        <f t="shared" si="39"/>
        <v>#N/A</v>
      </c>
      <c r="C122" s="143" t="e">
        <f t="shared" si="40"/>
        <v>#N/A</v>
      </c>
      <c r="D122" s="143" t="e">
        <f t="shared" si="41"/>
        <v>#N/A</v>
      </c>
      <c r="E122" s="143" t="e">
        <f t="shared" si="42"/>
        <v>#N/A</v>
      </c>
      <c r="F122" s="143" t="e">
        <f t="shared" si="43"/>
        <v>#N/A</v>
      </c>
      <c r="G122" s="144" t="e">
        <f t="shared" si="44"/>
        <v>#N/A</v>
      </c>
      <c r="H122" s="142" t="e">
        <f t="shared" si="45"/>
        <v>#N/A</v>
      </c>
      <c r="I122" s="143" t="e">
        <f t="shared" si="46"/>
        <v>#N/A</v>
      </c>
      <c r="J122" s="143" t="e">
        <f t="shared" si="47"/>
        <v>#N/A</v>
      </c>
      <c r="K122" s="143" t="e">
        <f t="shared" si="48"/>
        <v>#N/A</v>
      </c>
      <c r="L122" s="143" t="e">
        <f t="shared" si="49"/>
        <v>#N/A</v>
      </c>
      <c r="M122" s="144" t="e">
        <f t="shared" si="50"/>
        <v>#N/A</v>
      </c>
    </row>
    <row r="123" spans="1:13" x14ac:dyDescent="0.25">
      <c r="A123" s="20" t="e">
        <f t="shared" si="51"/>
        <v>#N/A</v>
      </c>
      <c r="B123" s="142" t="e">
        <f t="shared" si="39"/>
        <v>#N/A</v>
      </c>
      <c r="C123" s="143" t="e">
        <f t="shared" si="40"/>
        <v>#N/A</v>
      </c>
      <c r="D123" s="143" t="e">
        <f t="shared" si="41"/>
        <v>#N/A</v>
      </c>
      <c r="E123" s="143" t="e">
        <f t="shared" si="42"/>
        <v>#N/A</v>
      </c>
      <c r="F123" s="143" t="e">
        <f t="shared" si="43"/>
        <v>#N/A</v>
      </c>
      <c r="G123" s="144" t="e">
        <f t="shared" si="44"/>
        <v>#N/A</v>
      </c>
      <c r="H123" s="142" t="e">
        <f t="shared" si="45"/>
        <v>#N/A</v>
      </c>
      <c r="I123" s="143" t="e">
        <f t="shared" si="46"/>
        <v>#N/A</v>
      </c>
      <c r="J123" s="143" t="e">
        <f t="shared" si="47"/>
        <v>#N/A</v>
      </c>
      <c r="K123" s="143" t="e">
        <f t="shared" si="48"/>
        <v>#N/A</v>
      </c>
      <c r="L123" s="143" t="e">
        <f t="shared" si="49"/>
        <v>#N/A</v>
      </c>
      <c r="M123" s="144" t="e">
        <f t="shared" si="50"/>
        <v>#N/A</v>
      </c>
    </row>
    <row r="124" spans="1:13" x14ac:dyDescent="0.25">
      <c r="A124" s="20" t="e">
        <f t="shared" si="51"/>
        <v>#N/A</v>
      </c>
      <c r="B124" s="142" t="e">
        <f t="shared" si="39"/>
        <v>#N/A</v>
      </c>
      <c r="C124" s="143" t="e">
        <f t="shared" si="40"/>
        <v>#N/A</v>
      </c>
      <c r="D124" s="143" t="e">
        <f t="shared" si="41"/>
        <v>#N/A</v>
      </c>
      <c r="E124" s="143" t="e">
        <f t="shared" si="42"/>
        <v>#N/A</v>
      </c>
      <c r="F124" s="143" t="e">
        <f t="shared" si="43"/>
        <v>#N/A</v>
      </c>
      <c r="G124" s="144" t="e">
        <f t="shared" si="44"/>
        <v>#N/A</v>
      </c>
      <c r="H124" s="142" t="e">
        <f t="shared" si="45"/>
        <v>#N/A</v>
      </c>
      <c r="I124" s="143" t="e">
        <f t="shared" si="46"/>
        <v>#N/A</v>
      </c>
      <c r="J124" s="143" t="e">
        <f t="shared" si="47"/>
        <v>#N/A</v>
      </c>
      <c r="K124" s="143" t="e">
        <f t="shared" si="48"/>
        <v>#N/A</v>
      </c>
      <c r="L124" s="143" t="e">
        <f t="shared" si="49"/>
        <v>#N/A</v>
      </c>
      <c r="M124" s="144" t="e">
        <f t="shared" si="50"/>
        <v>#N/A</v>
      </c>
    </row>
    <row r="125" spans="1:13" x14ac:dyDescent="0.25">
      <c r="A125" s="20" t="e">
        <f t="shared" si="51"/>
        <v>#N/A</v>
      </c>
      <c r="B125" s="142" t="e">
        <f t="shared" si="39"/>
        <v>#N/A</v>
      </c>
      <c r="C125" s="143" t="e">
        <f t="shared" si="40"/>
        <v>#N/A</v>
      </c>
      <c r="D125" s="143" t="e">
        <f t="shared" si="41"/>
        <v>#N/A</v>
      </c>
      <c r="E125" s="143" t="e">
        <f t="shared" si="42"/>
        <v>#N/A</v>
      </c>
      <c r="F125" s="143" t="e">
        <f t="shared" si="43"/>
        <v>#N/A</v>
      </c>
      <c r="G125" s="144" t="e">
        <f t="shared" si="44"/>
        <v>#N/A</v>
      </c>
      <c r="H125" s="142" t="e">
        <f t="shared" si="45"/>
        <v>#N/A</v>
      </c>
      <c r="I125" s="143" t="e">
        <f t="shared" si="46"/>
        <v>#N/A</v>
      </c>
      <c r="J125" s="143" t="e">
        <f t="shared" si="47"/>
        <v>#N/A</v>
      </c>
      <c r="K125" s="143" t="e">
        <f t="shared" si="48"/>
        <v>#N/A</v>
      </c>
      <c r="L125" s="143" t="e">
        <f t="shared" si="49"/>
        <v>#N/A</v>
      </c>
      <c r="M125" s="144" t="e">
        <f t="shared" si="50"/>
        <v>#N/A</v>
      </c>
    </row>
    <row r="126" spans="1:13" x14ac:dyDescent="0.25">
      <c r="A126" s="20" t="e">
        <f t="shared" si="51"/>
        <v>#N/A</v>
      </c>
      <c r="B126" s="142" t="e">
        <f t="shared" si="39"/>
        <v>#N/A</v>
      </c>
      <c r="C126" s="143" t="e">
        <f t="shared" si="40"/>
        <v>#N/A</v>
      </c>
      <c r="D126" s="143" t="e">
        <f t="shared" si="41"/>
        <v>#N/A</v>
      </c>
      <c r="E126" s="143" t="e">
        <f t="shared" si="42"/>
        <v>#N/A</v>
      </c>
      <c r="F126" s="143" t="e">
        <f t="shared" si="43"/>
        <v>#N/A</v>
      </c>
      <c r="G126" s="144" t="e">
        <f t="shared" si="44"/>
        <v>#N/A</v>
      </c>
      <c r="H126" s="142" t="e">
        <f t="shared" si="45"/>
        <v>#N/A</v>
      </c>
      <c r="I126" s="143" t="e">
        <f t="shared" si="46"/>
        <v>#N/A</v>
      </c>
      <c r="J126" s="143" t="e">
        <f t="shared" si="47"/>
        <v>#N/A</v>
      </c>
      <c r="K126" s="143" t="e">
        <f t="shared" si="48"/>
        <v>#N/A</v>
      </c>
      <c r="L126" s="143" t="e">
        <f t="shared" si="49"/>
        <v>#N/A</v>
      </c>
      <c r="M126" s="144" t="e">
        <f t="shared" si="50"/>
        <v>#N/A</v>
      </c>
    </row>
    <row r="127" spans="1:13" x14ac:dyDescent="0.25">
      <c r="A127" s="20" t="e">
        <f t="shared" si="51"/>
        <v>#N/A</v>
      </c>
      <c r="B127" s="142" t="e">
        <f t="shared" si="39"/>
        <v>#N/A</v>
      </c>
      <c r="C127" s="143" t="e">
        <f t="shared" si="40"/>
        <v>#N/A</v>
      </c>
      <c r="D127" s="143" t="e">
        <f t="shared" si="41"/>
        <v>#N/A</v>
      </c>
      <c r="E127" s="143" t="e">
        <f t="shared" si="42"/>
        <v>#N/A</v>
      </c>
      <c r="F127" s="143" t="e">
        <f t="shared" si="43"/>
        <v>#N/A</v>
      </c>
      <c r="G127" s="144" t="e">
        <f t="shared" si="44"/>
        <v>#N/A</v>
      </c>
      <c r="H127" s="142" t="e">
        <f t="shared" si="45"/>
        <v>#N/A</v>
      </c>
      <c r="I127" s="143" t="e">
        <f t="shared" si="46"/>
        <v>#N/A</v>
      </c>
      <c r="J127" s="143" t="e">
        <f t="shared" si="47"/>
        <v>#N/A</v>
      </c>
      <c r="K127" s="143" t="e">
        <f t="shared" si="48"/>
        <v>#N/A</v>
      </c>
      <c r="L127" s="143" t="e">
        <f t="shared" si="49"/>
        <v>#N/A</v>
      </c>
      <c r="M127" s="144" t="e">
        <f t="shared" si="50"/>
        <v>#N/A</v>
      </c>
    </row>
    <row r="128" spans="1:13" x14ac:dyDescent="0.25">
      <c r="A128" s="20" t="e">
        <f t="shared" si="51"/>
        <v>#N/A</v>
      </c>
      <c r="B128" s="142" t="e">
        <f t="shared" si="39"/>
        <v>#N/A</v>
      </c>
      <c r="C128" s="143" t="e">
        <f t="shared" si="40"/>
        <v>#N/A</v>
      </c>
      <c r="D128" s="143" t="e">
        <f t="shared" si="41"/>
        <v>#N/A</v>
      </c>
      <c r="E128" s="143" t="e">
        <f t="shared" si="42"/>
        <v>#N/A</v>
      </c>
      <c r="F128" s="143" t="e">
        <f t="shared" si="43"/>
        <v>#N/A</v>
      </c>
      <c r="G128" s="144" t="e">
        <f t="shared" si="44"/>
        <v>#N/A</v>
      </c>
      <c r="H128" s="142" t="e">
        <f t="shared" si="45"/>
        <v>#N/A</v>
      </c>
      <c r="I128" s="143" t="e">
        <f t="shared" si="46"/>
        <v>#N/A</v>
      </c>
      <c r="J128" s="143" t="e">
        <f t="shared" si="47"/>
        <v>#N/A</v>
      </c>
      <c r="K128" s="143" t="e">
        <f t="shared" si="48"/>
        <v>#N/A</v>
      </c>
      <c r="L128" s="143" t="e">
        <f t="shared" si="49"/>
        <v>#N/A</v>
      </c>
      <c r="M128" s="144" t="e">
        <f t="shared" si="50"/>
        <v>#N/A</v>
      </c>
    </row>
    <row r="129" spans="1:13" x14ac:dyDescent="0.25">
      <c r="A129" s="20" t="e">
        <f t="shared" si="51"/>
        <v>#N/A</v>
      </c>
      <c r="B129" s="142" t="e">
        <f t="shared" si="39"/>
        <v>#N/A</v>
      </c>
      <c r="C129" s="143" t="e">
        <f t="shared" si="40"/>
        <v>#N/A</v>
      </c>
      <c r="D129" s="143" t="e">
        <f t="shared" si="41"/>
        <v>#N/A</v>
      </c>
      <c r="E129" s="143" t="e">
        <f t="shared" si="42"/>
        <v>#N/A</v>
      </c>
      <c r="F129" s="143" t="e">
        <f t="shared" si="43"/>
        <v>#N/A</v>
      </c>
      <c r="G129" s="144" t="e">
        <f t="shared" si="44"/>
        <v>#N/A</v>
      </c>
      <c r="H129" s="142" t="e">
        <f t="shared" si="45"/>
        <v>#N/A</v>
      </c>
      <c r="I129" s="143" t="e">
        <f t="shared" si="46"/>
        <v>#N/A</v>
      </c>
      <c r="J129" s="143" t="e">
        <f t="shared" si="47"/>
        <v>#N/A</v>
      </c>
      <c r="K129" s="143" t="e">
        <f t="shared" si="48"/>
        <v>#N/A</v>
      </c>
      <c r="L129" s="143" t="e">
        <f t="shared" si="49"/>
        <v>#N/A</v>
      </c>
      <c r="M129" s="144" t="e">
        <f t="shared" si="50"/>
        <v>#N/A</v>
      </c>
    </row>
    <row r="130" spans="1:13" x14ac:dyDescent="0.25">
      <c r="A130" s="20" t="e">
        <f t="shared" si="51"/>
        <v>#N/A</v>
      </c>
      <c r="B130" s="142" t="e">
        <f t="shared" si="39"/>
        <v>#N/A</v>
      </c>
      <c r="C130" s="143" t="e">
        <f t="shared" si="40"/>
        <v>#N/A</v>
      </c>
      <c r="D130" s="143" t="e">
        <f t="shared" si="41"/>
        <v>#N/A</v>
      </c>
      <c r="E130" s="143" t="e">
        <f t="shared" si="42"/>
        <v>#N/A</v>
      </c>
      <c r="F130" s="143" t="e">
        <f t="shared" si="43"/>
        <v>#N/A</v>
      </c>
      <c r="G130" s="144" t="e">
        <f t="shared" si="44"/>
        <v>#N/A</v>
      </c>
      <c r="H130" s="142" t="e">
        <f t="shared" si="45"/>
        <v>#N/A</v>
      </c>
      <c r="I130" s="143" t="e">
        <f t="shared" si="46"/>
        <v>#N/A</v>
      </c>
      <c r="J130" s="143" t="e">
        <f t="shared" si="47"/>
        <v>#N/A</v>
      </c>
      <c r="K130" s="143" t="e">
        <f t="shared" si="48"/>
        <v>#N/A</v>
      </c>
      <c r="L130" s="143" t="e">
        <f t="shared" si="49"/>
        <v>#N/A</v>
      </c>
      <c r="M130" s="144" t="e">
        <f t="shared" si="50"/>
        <v>#N/A</v>
      </c>
    </row>
    <row r="131" spans="1:13" x14ac:dyDescent="0.25">
      <c r="A131" s="20" t="e">
        <f t="shared" si="51"/>
        <v>#N/A</v>
      </c>
      <c r="B131" s="142" t="e">
        <f t="shared" si="39"/>
        <v>#N/A</v>
      </c>
      <c r="C131" s="143" t="e">
        <f t="shared" si="40"/>
        <v>#N/A</v>
      </c>
      <c r="D131" s="143" t="e">
        <f t="shared" si="41"/>
        <v>#N/A</v>
      </c>
      <c r="E131" s="143" t="e">
        <f t="shared" si="42"/>
        <v>#N/A</v>
      </c>
      <c r="F131" s="143" t="e">
        <f t="shared" si="43"/>
        <v>#N/A</v>
      </c>
      <c r="G131" s="144" t="e">
        <f t="shared" si="44"/>
        <v>#N/A</v>
      </c>
      <c r="H131" s="142" t="e">
        <f t="shared" si="45"/>
        <v>#N/A</v>
      </c>
      <c r="I131" s="143" t="e">
        <f t="shared" si="46"/>
        <v>#N/A</v>
      </c>
      <c r="J131" s="143" t="e">
        <f t="shared" si="47"/>
        <v>#N/A</v>
      </c>
      <c r="K131" s="143" t="e">
        <f t="shared" si="48"/>
        <v>#N/A</v>
      </c>
      <c r="L131" s="143" t="e">
        <f t="shared" si="49"/>
        <v>#N/A</v>
      </c>
      <c r="M131" s="144" t="e">
        <f t="shared" si="50"/>
        <v>#N/A</v>
      </c>
    </row>
    <row r="132" spans="1:13" x14ac:dyDescent="0.25">
      <c r="A132" s="20" t="e">
        <f t="shared" si="51"/>
        <v>#N/A</v>
      </c>
      <c r="B132" s="142" t="e">
        <f t="shared" ref="B132:B151" si="52">IF(Load_Case=1,(FA_SUS*1000/(2*3.14*A132*0.001*0.5)),NA())</f>
        <v>#N/A</v>
      </c>
      <c r="C132" s="143" t="e">
        <f t="shared" ref="C132:C151" si="53">IF(Load_Case=1,((FL_SUS*H_Trunnion)/(3.14*((A132*0.5)*0.001)^2)),NA())</f>
        <v>#N/A</v>
      </c>
      <c r="D132" s="143" t="e">
        <f t="shared" ref="D132:D151" si="54">IF(Load_Case=1,((FC_SUS*H_Trunnion)/(3.14*((A132*0.5)*0.001)^2)),NA())</f>
        <v>#N/A</v>
      </c>
      <c r="E132" s="143" t="e">
        <f t="shared" ref="E132:E151" si="55">1.5*B132+SQRT(C132^2+(D132*1.5)^2)</f>
        <v>#N/A</v>
      </c>
      <c r="F132" s="143" t="e">
        <f t="shared" ref="F132:F151" si="56">IF(SL_Trunnion,(1.17*E132*SQRT(0.5*D*0.001))*0.000001/((tnet_TRUNNION*0.001)^1.5),NA())</f>
        <v>#N/A</v>
      </c>
      <c r="G132" s="144" t="e">
        <f t="shared" ref="G132:G151" si="57">IF(SC_Trunnion,(0.643*E132*SQRT((D*0.5)*0.001))*0.000001/((tnet_TRUNNION*0.001)^1.5),NA())</f>
        <v>#N/A</v>
      </c>
      <c r="H132" s="142" t="e">
        <f t="shared" ref="H132:H151" si="58">IF(Load_Case=2,(FA_EXP*1000/(2*3.14*A132*0.001*0.5)),NA())</f>
        <v>#N/A</v>
      </c>
      <c r="I132" s="143" t="e">
        <f t="shared" ref="I132:I151" si="59">IF(Load_Case=2,((FL_EXP*H_Trunnion)/(3.14*((A132*0.5)*0.001)^2)),NA())</f>
        <v>#N/A</v>
      </c>
      <c r="J132" s="143" t="e">
        <f t="shared" ref="J132:J151" si="60">IF(Load_Case=2,((FC_EXP*H_Trunnion)/(3.14*((A132*0.5)*0.001)^2)),NA())</f>
        <v>#N/A</v>
      </c>
      <c r="K132" s="143" t="e">
        <f t="shared" ref="K132:K151" si="61">1.5*H132+SQRT(I132^2+(J132*1.5)^2)</f>
        <v>#N/A</v>
      </c>
      <c r="L132" s="143" t="e">
        <f t="shared" ref="L132:L151" si="62">IF(SL_Trunnion,(1.17*K132*SQRT(0.5*D*0.001))*0.000001/((tnet_TRUNNION*0.001)^1.5),NA())</f>
        <v>#N/A</v>
      </c>
      <c r="M132" s="144" t="e">
        <f t="shared" ref="M132:M151" si="63">IF(SC_Trunnion,(0.643*K132*SQRT((D*0.5)*0.001))*0.000001/((tnet_TRUNNION*0.001)^1.5),NA())</f>
        <v>#N/A</v>
      </c>
    </row>
    <row r="133" spans="1:13" x14ac:dyDescent="0.25">
      <c r="A133" s="20" t="e">
        <f t="shared" ref="A133:A151" si="64">IF((A132+d_Trunnion_Increment)&gt;Max_Trunnion_diameter,NA(),A132+d_Trunnion_Increment)</f>
        <v>#N/A</v>
      </c>
      <c r="B133" s="142" t="e">
        <f t="shared" si="52"/>
        <v>#N/A</v>
      </c>
      <c r="C133" s="143" t="e">
        <f t="shared" si="53"/>
        <v>#N/A</v>
      </c>
      <c r="D133" s="143" t="e">
        <f t="shared" si="54"/>
        <v>#N/A</v>
      </c>
      <c r="E133" s="143" t="e">
        <f t="shared" si="55"/>
        <v>#N/A</v>
      </c>
      <c r="F133" s="143" t="e">
        <f t="shared" si="56"/>
        <v>#N/A</v>
      </c>
      <c r="G133" s="144" t="e">
        <f t="shared" si="57"/>
        <v>#N/A</v>
      </c>
      <c r="H133" s="142" t="e">
        <f t="shared" si="58"/>
        <v>#N/A</v>
      </c>
      <c r="I133" s="143" t="e">
        <f t="shared" si="59"/>
        <v>#N/A</v>
      </c>
      <c r="J133" s="143" t="e">
        <f t="shared" si="60"/>
        <v>#N/A</v>
      </c>
      <c r="K133" s="143" t="e">
        <f t="shared" si="61"/>
        <v>#N/A</v>
      </c>
      <c r="L133" s="143" t="e">
        <f t="shared" si="62"/>
        <v>#N/A</v>
      </c>
      <c r="M133" s="144" t="e">
        <f t="shared" si="63"/>
        <v>#N/A</v>
      </c>
    </row>
    <row r="134" spans="1:13" x14ac:dyDescent="0.25">
      <c r="A134" s="20" t="e">
        <f t="shared" si="64"/>
        <v>#N/A</v>
      </c>
      <c r="B134" s="142" t="e">
        <f t="shared" si="52"/>
        <v>#N/A</v>
      </c>
      <c r="C134" s="143" t="e">
        <f t="shared" si="53"/>
        <v>#N/A</v>
      </c>
      <c r="D134" s="143" t="e">
        <f t="shared" si="54"/>
        <v>#N/A</v>
      </c>
      <c r="E134" s="143" t="e">
        <f t="shared" si="55"/>
        <v>#N/A</v>
      </c>
      <c r="F134" s="143" t="e">
        <f t="shared" si="56"/>
        <v>#N/A</v>
      </c>
      <c r="G134" s="144" t="e">
        <f t="shared" si="57"/>
        <v>#N/A</v>
      </c>
      <c r="H134" s="142" t="e">
        <f t="shared" si="58"/>
        <v>#N/A</v>
      </c>
      <c r="I134" s="143" t="e">
        <f t="shared" si="59"/>
        <v>#N/A</v>
      </c>
      <c r="J134" s="143" t="e">
        <f t="shared" si="60"/>
        <v>#N/A</v>
      </c>
      <c r="K134" s="143" t="e">
        <f t="shared" si="61"/>
        <v>#N/A</v>
      </c>
      <c r="L134" s="143" t="e">
        <f t="shared" si="62"/>
        <v>#N/A</v>
      </c>
      <c r="M134" s="144" t="e">
        <f t="shared" si="63"/>
        <v>#N/A</v>
      </c>
    </row>
    <row r="135" spans="1:13" x14ac:dyDescent="0.25">
      <c r="A135" s="20" t="e">
        <f t="shared" si="64"/>
        <v>#N/A</v>
      </c>
      <c r="B135" s="142" t="e">
        <f t="shared" si="52"/>
        <v>#N/A</v>
      </c>
      <c r="C135" s="143" t="e">
        <f t="shared" si="53"/>
        <v>#N/A</v>
      </c>
      <c r="D135" s="143" t="e">
        <f t="shared" si="54"/>
        <v>#N/A</v>
      </c>
      <c r="E135" s="143" t="e">
        <f t="shared" si="55"/>
        <v>#N/A</v>
      </c>
      <c r="F135" s="143" t="e">
        <f t="shared" si="56"/>
        <v>#N/A</v>
      </c>
      <c r="G135" s="144" t="e">
        <f t="shared" si="57"/>
        <v>#N/A</v>
      </c>
      <c r="H135" s="142" t="e">
        <f t="shared" si="58"/>
        <v>#N/A</v>
      </c>
      <c r="I135" s="143" t="e">
        <f t="shared" si="59"/>
        <v>#N/A</v>
      </c>
      <c r="J135" s="143" t="e">
        <f t="shared" si="60"/>
        <v>#N/A</v>
      </c>
      <c r="K135" s="143" t="e">
        <f t="shared" si="61"/>
        <v>#N/A</v>
      </c>
      <c r="L135" s="143" t="e">
        <f t="shared" si="62"/>
        <v>#N/A</v>
      </c>
      <c r="M135" s="144" t="e">
        <f t="shared" si="63"/>
        <v>#N/A</v>
      </c>
    </row>
    <row r="136" spans="1:13" x14ac:dyDescent="0.25">
      <c r="A136" s="20" t="e">
        <f t="shared" si="64"/>
        <v>#N/A</v>
      </c>
      <c r="B136" s="142" t="e">
        <f t="shared" si="52"/>
        <v>#N/A</v>
      </c>
      <c r="C136" s="143" t="e">
        <f t="shared" si="53"/>
        <v>#N/A</v>
      </c>
      <c r="D136" s="143" t="e">
        <f t="shared" si="54"/>
        <v>#N/A</v>
      </c>
      <c r="E136" s="143" t="e">
        <f t="shared" si="55"/>
        <v>#N/A</v>
      </c>
      <c r="F136" s="143" t="e">
        <f t="shared" si="56"/>
        <v>#N/A</v>
      </c>
      <c r="G136" s="144" t="e">
        <f t="shared" si="57"/>
        <v>#N/A</v>
      </c>
      <c r="H136" s="142" t="e">
        <f t="shared" si="58"/>
        <v>#N/A</v>
      </c>
      <c r="I136" s="143" t="e">
        <f t="shared" si="59"/>
        <v>#N/A</v>
      </c>
      <c r="J136" s="143" t="e">
        <f t="shared" si="60"/>
        <v>#N/A</v>
      </c>
      <c r="K136" s="143" t="e">
        <f t="shared" si="61"/>
        <v>#N/A</v>
      </c>
      <c r="L136" s="143" t="e">
        <f t="shared" si="62"/>
        <v>#N/A</v>
      </c>
      <c r="M136" s="144" t="e">
        <f t="shared" si="63"/>
        <v>#N/A</v>
      </c>
    </row>
    <row r="137" spans="1:13" x14ac:dyDescent="0.25">
      <c r="A137" s="20" t="e">
        <f t="shared" si="64"/>
        <v>#N/A</v>
      </c>
      <c r="B137" s="142" t="e">
        <f t="shared" si="52"/>
        <v>#N/A</v>
      </c>
      <c r="C137" s="143" t="e">
        <f t="shared" si="53"/>
        <v>#N/A</v>
      </c>
      <c r="D137" s="143" t="e">
        <f t="shared" si="54"/>
        <v>#N/A</v>
      </c>
      <c r="E137" s="143" t="e">
        <f t="shared" si="55"/>
        <v>#N/A</v>
      </c>
      <c r="F137" s="143" t="e">
        <f t="shared" si="56"/>
        <v>#N/A</v>
      </c>
      <c r="G137" s="144" t="e">
        <f t="shared" si="57"/>
        <v>#N/A</v>
      </c>
      <c r="H137" s="142" t="e">
        <f t="shared" si="58"/>
        <v>#N/A</v>
      </c>
      <c r="I137" s="143" t="e">
        <f t="shared" si="59"/>
        <v>#N/A</v>
      </c>
      <c r="J137" s="143" t="e">
        <f t="shared" si="60"/>
        <v>#N/A</v>
      </c>
      <c r="K137" s="143" t="e">
        <f t="shared" si="61"/>
        <v>#N/A</v>
      </c>
      <c r="L137" s="143" t="e">
        <f t="shared" si="62"/>
        <v>#N/A</v>
      </c>
      <c r="M137" s="144" t="e">
        <f t="shared" si="63"/>
        <v>#N/A</v>
      </c>
    </row>
    <row r="138" spans="1:13" x14ac:dyDescent="0.25">
      <c r="A138" s="20" t="e">
        <f t="shared" si="64"/>
        <v>#N/A</v>
      </c>
      <c r="B138" s="142" t="e">
        <f t="shared" si="52"/>
        <v>#N/A</v>
      </c>
      <c r="C138" s="143" t="e">
        <f t="shared" si="53"/>
        <v>#N/A</v>
      </c>
      <c r="D138" s="143" t="e">
        <f t="shared" si="54"/>
        <v>#N/A</v>
      </c>
      <c r="E138" s="143" t="e">
        <f t="shared" si="55"/>
        <v>#N/A</v>
      </c>
      <c r="F138" s="143" t="e">
        <f t="shared" si="56"/>
        <v>#N/A</v>
      </c>
      <c r="G138" s="144" t="e">
        <f t="shared" si="57"/>
        <v>#N/A</v>
      </c>
      <c r="H138" s="142" t="e">
        <f t="shared" si="58"/>
        <v>#N/A</v>
      </c>
      <c r="I138" s="143" t="e">
        <f t="shared" si="59"/>
        <v>#N/A</v>
      </c>
      <c r="J138" s="143" t="e">
        <f t="shared" si="60"/>
        <v>#N/A</v>
      </c>
      <c r="K138" s="143" t="e">
        <f t="shared" si="61"/>
        <v>#N/A</v>
      </c>
      <c r="L138" s="143" t="e">
        <f t="shared" si="62"/>
        <v>#N/A</v>
      </c>
      <c r="M138" s="144" t="e">
        <f t="shared" si="63"/>
        <v>#N/A</v>
      </c>
    </row>
    <row r="139" spans="1:13" x14ac:dyDescent="0.25">
      <c r="A139" s="20" t="e">
        <f t="shared" si="64"/>
        <v>#N/A</v>
      </c>
      <c r="B139" s="142" t="e">
        <f t="shared" si="52"/>
        <v>#N/A</v>
      </c>
      <c r="C139" s="143" t="e">
        <f t="shared" si="53"/>
        <v>#N/A</v>
      </c>
      <c r="D139" s="143" t="e">
        <f t="shared" si="54"/>
        <v>#N/A</v>
      </c>
      <c r="E139" s="143" t="e">
        <f t="shared" si="55"/>
        <v>#N/A</v>
      </c>
      <c r="F139" s="143" t="e">
        <f t="shared" si="56"/>
        <v>#N/A</v>
      </c>
      <c r="G139" s="144" t="e">
        <f t="shared" si="57"/>
        <v>#N/A</v>
      </c>
      <c r="H139" s="142" t="e">
        <f t="shared" si="58"/>
        <v>#N/A</v>
      </c>
      <c r="I139" s="143" t="e">
        <f t="shared" si="59"/>
        <v>#N/A</v>
      </c>
      <c r="J139" s="143" t="e">
        <f t="shared" si="60"/>
        <v>#N/A</v>
      </c>
      <c r="K139" s="143" t="e">
        <f t="shared" si="61"/>
        <v>#N/A</v>
      </c>
      <c r="L139" s="143" t="e">
        <f t="shared" si="62"/>
        <v>#N/A</v>
      </c>
      <c r="M139" s="144" t="e">
        <f t="shared" si="63"/>
        <v>#N/A</v>
      </c>
    </row>
    <row r="140" spans="1:13" x14ac:dyDescent="0.25">
      <c r="A140" s="20" t="e">
        <f t="shared" si="64"/>
        <v>#N/A</v>
      </c>
      <c r="B140" s="142" t="e">
        <f t="shared" si="52"/>
        <v>#N/A</v>
      </c>
      <c r="C140" s="143" t="e">
        <f t="shared" si="53"/>
        <v>#N/A</v>
      </c>
      <c r="D140" s="143" t="e">
        <f t="shared" si="54"/>
        <v>#N/A</v>
      </c>
      <c r="E140" s="143" t="e">
        <f t="shared" si="55"/>
        <v>#N/A</v>
      </c>
      <c r="F140" s="143" t="e">
        <f t="shared" si="56"/>
        <v>#N/A</v>
      </c>
      <c r="G140" s="144" t="e">
        <f t="shared" si="57"/>
        <v>#N/A</v>
      </c>
      <c r="H140" s="142" t="e">
        <f t="shared" si="58"/>
        <v>#N/A</v>
      </c>
      <c r="I140" s="143" t="e">
        <f t="shared" si="59"/>
        <v>#N/A</v>
      </c>
      <c r="J140" s="143" t="e">
        <f t="shared" si="60"/>
        <v>#N/A</v>
      </c>
      <c r="K140" s="143" t="e">
        <f t="shared" si="61"/>
        <v>#N/A</v>
      </c>
      <c r="L140" s="143" t="e">
        <f t="shared" si="62"/>
        <v>#N/A</v>
      </c>
      <c r="M140" s="144" t="e">
        <f t="shared" si="63"/>
        <v>#N/A</v>
      </c>
    </row>
    <row r="141" spans="1:13" x14ac:dyDescent="0.25">
      <c r="A141" s="20" t="e">
        <f t="shared" si="64"/>
        <v>#N/A</v>
      </c>
      <c r="B141" s="142" t="e">
        <f t="shared" si="52"/>
        <v>#N/A</v>
      </c>
      <c r="C141" s="143" t="e">
        <f t="shared" si="53"/>
        <v>#N/A</v>
      </c>
      <c r="D141" s="143" t="e">
        <f t="shared" si="54"/>
        <v>#N/A</v>
      </c>
      <c r="E141" s="143" t="e">
        <f t="shared" si="55"/>
        <v>#N/A</v>
      </c>
      <c r="F141" s="143" t="e">
        <f t="shared" si="56"/>
        <v>#N/A</v>
      </c>
      <c r="G141" s="144" t="e">
        <f t="shared" si="57"/>
        <v>#N/A</v>
      </c>
      <c r="H141" s="142" t="e">
        <f t="shared" si="58"/>
        <v>#N/A</v>
      </c>
      <c r="I141" s="143" t="e">
        <f t="shared" si="59"/>
        <v>#N/A</v>
      </c>
      <c r="J141" s="143" t="e">
        <f t="shared" si="60"/>
        <v>#N/A</v>
      </c>
      <c r="K141" s="143" t="e">
        <f t="shared" si="61"/>
        <v>#N/A</v>
      </c>
      <c r="L141" s="143" t="e">
        <f t="shared" si="62"/>
        <v>#N/A</v>
      </c>
      <c r="M141" s="144" t="e">
        <f t="shared" si="63"/>
        <v>#N/A</v>
      </c>
    </row>
    <row r="142" spans="1:13" x14ac:dyDescent="0.25">
      <c r="A142" s="20" t="e">
        <f t="shared" si="64"/>
        <v>#N/A</v>
      </c>
      <c r="B142" s="142" t="e">
        <f t="shared" si="52"/>
        <v>#N/A</v>
      </c>
      <c r="C142" s="143" t="e">
        <f t="shared" si="53"/>
        <v>#N/A</v>
      </c>
      <c r="D142" s="143" t="e">
        <f t="shared" si="54"/>
        <v>#N/A</v>
      </c>
      <c r="E142" s="143" t="e">
        <f t="shared" si="55"/>
        <v>#N/A</v>
      </c>
      <c r="F142" s="143" t="e">
        <f t="shared" si="56"/>
        <v>#N/A</v>
      </c>
      <c r="G142" s="144" t="e">
        <f t="shared" si="57"/>
        <v>#N/A</v>
      </c>
      <c r="H142" s="142" t="e">
        <f t="shared" si="58"/>
        <v>#N/A</v>
      </c>
      <c r="I142" s="143" t="e">
        <f t="shared" si="59"/>
        <v>#N/A</v>
      </c>
      <c r="J142" s="143" t="e">
        <f t="shared" si="60"/>
        <v>#N/A</v>
      </c>
      <c r="K142" s="143" t="e">
        <f t="shared" si="61"/>
        <v>#N/A</v>
      </c>
      <c r="L142" s="143" t="e">
        <f t="shared" si="62"/>
        <v>#N/A</v>
      </c>
      <c r="M142" s="144" t="e">
        <f t="shared" si="63"/>
        <v>#N/A</v>
      </c>
    </row>
    <row r="143" spans="1:13" x14ac:dyDescent="0.25">
      <c r="A143" s="20" t="e">
        <f t="shared" si="64"/>
        <v>#N/A</v>
      </c>
      <c r="B143" s="142" t="e">
        <f t="shared" si="52"/>
        <v>#N/A</v>
      </c>
      <c r="C143" s="143" t="e">
        <f t="shared" si="53"/>
        <v>#N/A</v>
      </c>
      <c r="D143" s="143" t="e">
        <f t="shared" si="54"/>
        <v>#N/A</v>
      </c>
      <c r="E143" s="143" t="e">
        <f t="shared" si="55"/>
        <v>#N/A</v>
      </c>
      <c r="F143" s="143" t="e">
        <f t="shared" si="56"/>
        <v>#N/A</v>
      </c>
      <c r="G143" s="144" t="e">
        <f t="shared" si="57"/>
        <v>#N/A</v>
      </c>
      <c r="H143" s="142" t="e">
        <f t="shared" si="58"/>
        <v>#N/A</v>
      </c>
      <c r="I143" s="143" t="e">
        <f t="shared" si="59"/>
        <v>#N/A</v>
      </c>
      <c r="J143" s="143" t="e">
        <f t="shared" si="60"/>
        <v>#N/A</v>
      </c>
      <c r="K143" s="143" t="e">
        <f t="shared" si="61"/>
        <v>#N/A</v>
      </c>
      <c r="L143" s="143" t="e">
        <f t="shared" si="62"/>
        <v>#N/A</v>
      </c>
      <c r="M143" s="144" t="e">
        <f t="shared" si="63"/>
        <v>#N/A</v>
      </c>
    </row>
    <row r="144" spans="1:13" x14ac:dyDescent="0.25">
      <c r="A144" s="20" t="e">
        <f t="shared" si="64"/>
        <v>#N/A</v>
      </c>
      <c r="B144" s="142" t="e">
        <f t="shared" si="52"/>
        <v>#N/A</v>
      </c>
      <c r="C144" s="143" t="e">
        <f t="shared" si="53"/>
        <v>#N/A</v>
      </c>
      <c r="D144" s="143" t="e">
        <f t="shared" si="54"/>
        <v>#N/A</v>
      </c>
      <c r="E144" s="143" t="e">
        <f t="shared" si="55"/>
        <v>#N/A</v>
      </c>
      <c r="F144" s="143" t="e">
        <f t="shared" si="56"/>
        <v>#N/A</v>
      </c>
      <c r="G144" s="144" t="e">
        <f t="shared" si="57"/>
        <v>#N/A</v>
      </c>
      <c r="H144" s="142" t="e">
        <f t="shared" si="58"/>
        <v>#N/A</v>
      </c>
      <c r="I144" s="143" t="e">
        <f t="shared" si="59"/>
        <v>#N/A</v>
      </c>
      <c r="J144" s="143" t="e">
        <f t="shared" si="60"/>
        <v>#N/A</v>
      </c>
      <c r="K144" s="143" t="e">
        <f t="shared" si="61"/>
        <v>#N/A</v>
      </c>
      <c r="L144" s="143" t="e">
        <f t="shared" si="62"/>
        <v>#N/A</v>
      </c>
      <c r="M144" s="144" t="e">
        <f t="shared" si="63"/>
        <v>#N/A</v>
      </c>
    </row>
    <row r="145" spans="1:13" x14ac:dyDescent="0.25">
      <c r="A145" s="20" t="e">
        <f t="shared" si="64"/>
        <v>#N/A</v>
      </c>
      <c r="B145" s="142" t="e">
        <f t="shared" si="52"/>
        <v>#N/A</v>
      </c>
      <c r="C145" s="143" t="e">
        <f t="shared" si="53"/>
        <v>#N/A</v>
      </c>
      <c r="D145" s="143" t="e">
        <f t="shared" si="54"/>
        <v>#N/A</v>
      </c>
      <c r="E145" s="143" t="e">
        <f t="shared" si="55"/>
        <v>#N/A</v>
      </c>
      <c r="F145" s="143" t="e">
        <f t="shared" si="56"/>
        <v>#N/A</v>
      </c>
      <c r="G145" s="144" t="e">
        <f t="shared" si="57"/>
        <v>#N/A</v>
      </c>
      <c r="H145" s="142" t="e">
        <f t="shared" si="58"/>
        <v>#N/A</v>
      </c>
      <c r="I145" s="143" t="e">
        <f t="shared" si="59"/>
        <v>#N/A</v>
      </c>
      <c r="J145" s="143" t="e">
        <f t="shared" si="60"/>
        <v>#N/A</v>
      </c>
      <c r="K145" s="143" t="e">
        <f t="shared" si="61"/>
        <v>#N/A</v>
      </c>
      <c r="L145" s="143" t="e">
        <f t="shared" si="62"/>
        <v>#N/A</v>
      </c>
      <c r="M145" s="144" t="e">
        <f t="shared" si="63"/>
        <v>#N/A</v>
      </c>
    </row>
    <row r="146" spans="1:13" x14ac:dyDescent="0.25">
      <c r="A146" s="20" t="e">
        <f t="shared" si="64"/>
        <v>#N/A</v>
      </c>
      <c r="B146" s="142" t="e">
        <f t="shared" si="52"/>
        <v>#N/A</v>
      </c>
      <c r="C146" s="143" t="e">
        <f t="shared" si="53"/>
        <v>#N/A</v>
      </c>
      <c r="D146" s="143" t="e">
        <f t="shared" si="54"/>
        <v>#N/A</v>
      </c>
      <c r="E146" s="143" t="e">
        <f t="shared" si="55"/>
        <v>#N/A</v>
      </c>
      <c r="F146" s="143" t="e">
        <f t="shared" si="56"/>
        <v>#N/A</v>
      </c>
      <c r="G146" s="144" t="e">
        <f t="shared" si="57"/>
        <v>#N/A</v>
      </c>
      <c r="H146" s="142" t="e">
        <f t="shared" si="58"/>
        <v>#N/A</v>
      </c>
      <c r="I146" s="143" t="e">
        <f t="shared" si="59"/>
        <v>#N/A</v>
      </c>
      <c r="J146" s="143" t="e">
        <f t="shared" si="60"/>
        <v>#N/A</v>
      </c>
      <c r="K146" s="143" t="e">
        <f t="shared" si="61"/>
        <v>#N/A</v>
      </c>
      <c r="L146" s="143" t="e">
        <f t="shared" si="62"/>
        <v>#N/A</v>
      </c>
      <c r="M146" s="144" t="e">
        <f t="shared" si="63"/>
        <v>#N/A</v>
      </c>
    </row>
    <row r="147" spans="1:13" x14ac:dyDescent="0.25">
      <c r="A147" s="20" t="e">
        <f t="shared" si="64"/>
        <v>#N/A</v>
      </c>
      <c r="B147" s="142" t="e">
        <f t="shared" si="52"/>
        <v>#N/A</v>
      </c>
      <c r="C147" s="143" t="e">
        <f t="shared" si="53"/>
        <v>#N/A</v>
      </c>
      <c r="D147" s="143" t="e">
        <f t="shared" si="54"/>
        <v>#N/A</v>
      </c>
      <c r="E147" s="143" t="e">
        <f t="shared" si="55"/>
        <v>#N/A</v>
      </c>
      <c r="F147" s="143" t="e">
        <f t="shared" si="56"/>
        <v>#N/A</v>
      </c>
      <c r="G147" s="144" t="e">
        <f t="shared" si="57"/>
        <v>#N/A</v>
      </c>
      <c r="H147" s="142" t="e">
        <f t="shared" si="58"/>
        <v>#N/A</v>
      </c>
      <c r="I147" s="143" t="e">
        <f t="shared" si="59"/>
        <v>#N/A</v>
      </c>
      <c r="J147" s="143" t="e">
        <f t="shared" si="60"/>
        <v>#N/A</v>
      </c>
      <c r="K147" s="143" t="e">
        <f t="shared" si="61"/>
        <v>#N/A</v>
      </c>
      <c r="L147" s="143" t="e">
        <f t="shared" si="62"/>
        <v>#N/A</v>
      </c>
      <c r="M147" s="144" t="e">
        <f t="shared" si="63"/>
        <v>#N/A</v>
      </c>
    </row>
    <row r="148" spans="1:13" x14ac:dyDescent="0.25">
      <c r="A148" s="20" t="e">
        <f t="shared" si="64"/>
        <v>#N/A</v>
      </c>
      <c r="B148" s="142" t="e">
        <f t="shared" si="52"/>
        <v>#N/A</v>
      </c>
      <c r="C148" s="143" t="e">
        <f t="shared" si="53"/>
        <v>#N/A</v>
      </c>
      <c r="D148" s="143" t="e">
        <f t="shared" si="54"/>
        <v>#N/A</v>
      </c>
      <c r="E148" s="143" t="e">
        <f t="shared" si="55"/>
        <v>#N/A</v>
      </c>
      <c r="F148" s="143" t="e">
        <f t="shared" si="56"/>
        <v>#N/A</v>
      </c>
      <c r="G148" s="144" t="e">
        <f t="shared" si="57"/>
        <v>#N/A</v>
      </c>
      <c r="H148" s="142" t="e">
        <f t="shared" si="58"/>
        <v>#N/A</v>
      </c>
      <c r="I148" s="143" t="e">
        <f t="shared" si="59"/>
        <v>#N/A</v>
      </c>
      <c r="J148" s="143" t="e">
        <f t="shared" si="60"/>
        <v>#N/A</v>
      </c>
      <c r="K148" s="143" t="e">
        <f t="shared" si="61"/>
        <v>#N/A</v>
      </c>
      <c r="L148" s="143" t="e">
        <f t="shared" si="62"/>
        <v>#N/A</v>
      </c>
      <c r="M148" s="144" t="e">
        <f t="shared" si="63"/>
        <v>#N/A</v>
      </c>
    </row>
    <row r="149" spans="1:13" x14ac:dyDescent="0.25">
      <c r="A149" s="20" t="e">
        <f t="shared" si="64"/>
        <v>#N/A</v>
      </c>
      <c r="B149" s="142" t="e">
        <f t="shared" si="52"/>
        <v>#N/A</v>
      </c>
      <c r="C149" s="143" t="e">
        <f t="shared" si="53"/>
        <v>#N/A</v>
      </c>
      <c r="D149" s="143" t="e">
        <f t="shared" si="54"/>
        <v>#N/A</v>
      </c>
      <c r="E149" s="143" t="e">
        <f t="shared" si="55"/>
        <v>#N/A</v>
      </c>
      <c r="F149" s="143" t="e">
        <f t="shared" si="56"/>
        <v>#N/A</v>
      </c>
      <c r="G149" s="144" t="e">
        <f t="shared" si="57"/>
        <v>#N/A</v>
      </c>
      <c r="H149" s="142" t="e">
        <f t="shared" si="58"/>
        <v>#N/A</v>
      </c>
      <c r="I149" s="143" t="e">
        <f t="shared" si="59"/>
        <v>#N/A</v>
      </c>
      <c r="J149" s="143" t="e">
        <f t="shared" si="60"/>
        <v>#N/A</v>
      </c>
      <c r="K149" s="143" t="e">
        <f t="shared" si="61"/>
        <v>#N/A</v>
      </c>
      <c r="L149" s="143" t="e">
        <f t="shared" si="62"/>
        <v>#N/A</v>
      </c>
      <c r="M149" s="144" t="e">
        <f t="shared" si="63"/>
        <v>#N/A</v>
      </c>
    </row>
    <row r="150" spans="1:13" x14ac:dyDescent="0.25">
      <c r="A150" s="20" t="e">
        <f t="shared" si="64"/>
        <v>#N/A</v>
      </c>
      <c r="B150" s="142" t="e">
        <f t="shared" si="52"/>
        <v>#N/A</v>
      </c>
      <c r="C150" s="143" t="e">
        <f t="shared" si="53"/>
        <v>#N/A</v>
      </c>
      <c r="D150" s="143" t="e">
        <f t="shared" si="54"/>
        <v>#N/A</v>
      </c>
      <c r="E150" s="143" t="e">
        <f t="shared" si="55"/>
        <v>#N/A</v>
      </c>
      <c r="F150" s="143" t="e">
        <f t="shared" si="56"/>
        <v>#N/A</v>
      </c>
      <c r="G150" s="144" t="e">
        <f t="shared" si="57"/>
        <v>#N/A</v>
      </c>
      <c r="H150" s="142" t="e">
        <f t="shared" si="58"/>
        <v>#N/A</v>
      </c>
      <c r="I150" s="143" t="e">
        <f t="shared" si="59"/>
        <v>#N/A</v>
      </c>
      <c r="J150" s="143" t="e">
        <f t="shared" si="60"/>
        <v>#N/A</v>
      </c>
      <c r="K150" s="143" t="e">
        <f t="shared" si="61"/>
        <v>#N/A</v>
      </c>
      <c r="L150" s="143" t="e">
        <f t="shared" si="62"/>
        <v>#N/A</v>
      </c>
      <c r="M150" s="144" t="e">
        <f t="shared" si="63"/>
        <v>#N/A</v>
      </c>
    </row>
    <row r="151" spans="1:13" x14ac:dyDescent="0.25">
      <c r="A151" s="20" t="e">
        <f t="shared" si="64"/>
        <v>#N/A</v>
      </c>
      <c r="B151" s="142" t="e">
        <f t="shared" si="52"/>
        <v>#N/A</v>
      </c>
      <c r="C151" s="143" t="e">
        <f t="shared" si="53"/>
        <v>#N/A</v>
      </c>
      <c r="D151" s="143" t="e">
        <f t="shared" si="54"/>
        <v>#N/A</v>
      </c>
      <c r="E151" s="143" t="e">
        <f t="shared" si="55"/>
        <v>#N/A</v>
      </c>
      <c r="F151" s="143" t="e">
        <f t="shared" si="56"/>
        <v>#N/A</v>
      </c>
      <c r="G151" s="144" t="e">
        <f t="shared" si="57"/>
        <v>#N/A</v>
      </c>
      <c r="H151" s="142" t="e">
        <f t="shared" si="58"/>
        <v>#N/A</v>
      </c>
      <c r="I151" s="143" t="e">
        <f t="shared" si="59"/>
        <v>#N/A</v>
      </c>
      <c r="J151" s="143" t="e">
        <f t="shared" si="60"/>
        <v>#N/A</v>
      </c>
      <c r="K151" s="143" t="e">
        <f t="shared" si="61"/>
        <v>#N/A</v>
      </c>
      <c r="L151" s="143" t="e">
        <f t="shared" si="62"/>
        <v>#N/A</v>
      </c>
      <c r="M151" s="144" t="e">
        <f t="shared" si="63"/>
        <v>#N/A</v>
      </c>
    </row>
  </sheetData>
  <mergeCells count="2">
    <mergeCell ref="H2:M2"/>
    <mergeCell ref="E2:G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1"/>
  <sheetViews>
    <sheetView topLeftCell="A128" workbookViewId="0">
      <selection activeCell="G158" sqref="G158:G160"/>
    </sheetView>
  </sheetViews>
  <sheetFormatPr defaultRowHeight="15" x14ac:dyDescent="0.25"/>
  <sheetData>
    <row r="1" spans="1:13" ht="15.75" thickBot="1" x14ac:dyDescent="0.3">
      <c r="A1" s="22" t="s">
        <v>67</v>
      </c>
      <c r="B1" s="22" t="s">
        <v>44</v>
      </c>
      <c r="C1" s="22" t="s">
        <v>68</v>
      </c>
      <c r="D1" s="133"/>
      <c r="E1" s="133"/>
      <c r="F1" s="133"/>
      <c r="G1" s="134"/>
      <c r="H1" s="133"/>
      <c r="I1" s="133"/>
      <c r="J1" s="133"/>
      <c r="K1" s="133"/>
      <c r="L1" s="133"/>
      <c r="M1" s="134"/>
    </row>
    <row r="2" spans="1:13" x14ac:dyDescent="0.25">
      <c r="A2" s="15">
        <v>1</v>
      </c>
      <c r="B2" s="15" t="b">
        <v>1</v>
      </c>
      <c r="C2" s="15" t="b">
        <v>1</v>
      </c>
      <c r="D2" s="148"/>
      <c r="E2" s="530" t="s">
        <v>53</v>
      </c>
      <c r="F2" s="530"/>
      <c r="G2" s="531"/>
      <c r="H2" s="529" t="s">
        <v>52</v>
      </c>
      <c r="I2" s="530"/>
      <c r="J2" s="530"/>
      <c r="K2" s="530"/>
      <c r="L2" s="530"/>
      <c r="M2" s="531"/>
    </row>
    <row r="3" spans="1:13" ht="15.75" thickBot="1" x14ac:dyDescent="0.3">
      <c r="A3" s="31" t="s">
        <v>72</v>
      </c>
      <c r="B3" s="28" t="s">
        <v>38</v>
      </c>
      <c r="C3" s="28" t="s">
        <v>48</v>
      </c>
      <c r="D3" s="28" t="s">
        <v>49</v>
      </c>
      <c r="E3" s="28" t="s">
        <v>40</v>
      </c>
      <c r="F3" s="29" t="s">
        <v>44</v>
      </c>
      <c r="G3" s="30" t="s">
        <v>47</v>
      </c>
      <c r="H3" s="28" t="s">
        <v>38</v>
      </c>
      <c r="I3" s="28" t="s">
        <v>48</v>
      </c>
      <c r="J3" s="28" t="s">
        <v>49</v>
      </c>
      <c r="K3" s="28" t="s">
        <v>40</v>
      </c>
      <c r="L3" s="29" t="s">
        <v>44</v>
      </c>
      <c r="M3" s="30" t="s">
        <v>47</v>
      </c>
    </row>
    <row r="4" spans="1:13" x14ac:dyDescent="0.25">
      <c r="A4" s="32">
        <f>L_STRA</f>
        <v>210</v>
      </c>
      <c r="B4" s="89" t="e">
        <f t="shared" ref="B4:B35" si="0">IF(Load_Case=1,(6*FL_SUS*H_Trunnion)/(A4*0.001)^2,NA())</f>
        <v>#N/A</v>
      </c>
      <c r="C4" s="24" t="e">
        <f t="shared" ref="C4:C35" si="1">IF(Load_Case=1,(6*FC_SUS*H_STRA)/(A4*t_STRA*0.000001),NA())</f>
        <v>#N/A</v>
      </c>
      <c r="D4" s="24" t="e">
        <f t="shared" ref="D4:D35" si="2">IF(Load_Case=1,FA_SUS*1000/(A4*0.001),NA())</f>
        <v>#N/A</v>
      </c>
      <c r="E4" s="24" t="e">
        <f t="shared" ref="E4:E35" si="3">1.5*D4+SQRT((B4^2+(1.5*C4)^2))</f>
        <v>#N/A</v>
      </c>
      <c r="F4" s="24" t="e">
        <f t="shared" ref="F4:F35" si="4">IF(SL_STRA,(1.17*E4*SQRT(0.5*D*0.001))*0.000001/((tnet_STRA*0.001)^1.5),NA())</f>
        <v>#N/A</v>
      </c>
      <c r="G4" s="25" t="e">
        <f t="shared" ref="G4:G35" si="5">IF(SC_STRA,(0.643*E4*SQRT((D*0.5)*0.001))*0.000001/((tnet_STRA*0.001)^1.5),NA())</f>
        <v>#N/A</v>
      </c>
      <c r="H4" s="89">
        <f t="shared" ref="H4:H35" si="6">IF(Load_Case=2,(6*FL_EXP*H_Trunnion)/(A4*0.001)^2,NA())</f>
        <v>190476.1904761905</v>
      </c>
      <c r="I4" s="89">
        <f t="shared" ref="I4:I35" si="7">IF(Load_Case=2,(6*FC_EXP*H_STRA)/(A4*t_STRA*0.000001),NA())</f>
        <v>3333333.333333334</v>
      </c>
      <c r="J4" s="89">
        <f t="shared" ref="J4:J35" si="8">IF(Load_Case=2,FA_EXP*1000/(A4*0.001),NA())</f>
        <v>23809.523809523809</v>
      </c>
      <c r="K4" s="89">
        <f t="shared" ref="K4:K35" si="9">1.5*J4+SQRT((H4^2+(1.5*I4)^2))</f>
        <v>5039341.088258449</v>
      </c>
      <c r="L4" s="89">
        <f t="shared" ref="L4:L35" si="10">IF(SL_STRA,(1.17*K4*SQRT(0.5*D*0.001))*0.000001/((tnet_STRA*0.001)^1.5),NA())</f>
        <v>2560.8087976833685</v>
      </c>
      <c r="M4" s="90">
        <f t="shared" ref="M4:M35" si="11">IF(SC_STRA,(0.643*K4*SQRT((D*0.5)*0.001))*0.000001/((tnet_STRA*0.001)^1.5),NA())</f>
        <v>1407.3504759918001</v>
      </c>
    </row>
    <row r="5" spans="1:13" x14ac:dyDescent="0.25">
      <c r="A5" s="32">
        <f t="shared" ref="A5:A36" si="12">IF((A4+L_STRA_Increment)&gt;Max_STRA_L,NA(),A4+L_STRA_Increment)</f>
        <v>211</v>
      </c>
      <c r="B5" s="89" t="e">
        <f t="shared" si="0"/>
        <v>#N/A</v>
      </c>
      <c r="C5" s="89" t="e">
        <f t="shared" si="1"/>
        <v>#N/A</v>
      </c>
      <c r="D5" s="89" t="e">
        <f t="shared" si="2"/>
        <v>#N/A</v>
      </c>
      <c r="E5" s="89" t="e">
        <f t="shared" si="3"/>
        <v>#N/A</v>
      </c>
      <c r="F5" s="89" t="e">
        <f t="shared" si="4"/>
        <v>#N/A</v>
      </c>
      <c r="G5" s="90" t="e">
        <f t="shared" si="5"/>
        <v>#N/A</v>
      </c>
      <c r="H5" s="89">
        <f t="shared" si="6"/>
        <v>188675.0072999259</v>
      </c>
      <c r="I5" s="89">
        <f t="shared" si="7"/>
        <v>3317535.545023697</v>
      </c>
      <c r="J5" s="89">
        <f t="shared" si="8"/>
        <v>23696.682464454978</v>
      </c>
      <c r="K5" s="89">
        <f t="shared" si="9"/>
        <v>5015423.8341191718</v>
      </c>
      <c r="L5" s="89">
        <f t="shared" si="10"/>
        <v>2548.6549240432223</v>
      </c>
      <c r="M5" s="90">
        <f t="shared" si="11"/>
        <v>1400.6710394528136</v>
      </c>
    </row>
    <row r="6" spans="1:13" x14ac:dyDescent="0.25">
      <c r="A6" s="32">
        <f t="shared" si="12"/>
        <v>212</v>
      </c>
      <c r="B6" s="89" t="e">
        <f t="shared" si="0"/>
        <v>#N/A</v>
      </c>
      <c r="C6" s="89" t="e">
        <f t="shared" si="1"/>
        <v>#N/A</v>
      </c>
      <c r="D6" s="89" t="e">
        <f t="shared" si="2"/>
        <v>#N/A</v>
      </c>
      <c r="E6" s="89" t="e">
        <f t="shared" si="3"/>
        <v>#N/A</v>
      </c>
      <c r="F6" s="89" t="e">
        <f t="shared" si="4"/>
        <v>#N/A</v>
      </c>
      <c r="G6" s="90" t="e">
        <f t="shared" si="5"/>
        <v>#N/A</v>
      </c>
      <c r="H6" s="89">
        <f t="shared" si="6"/>
        <v>186899.25240299039</v>
      </c>
      <c r="I6" s="89">
        <f t="shared" si="7"/>
        <v>3301886.7924528304</v>
      </c>
      <c r="J6" s="89">
        <f t="shared" si="8"/>
        <v>23584.905660377361</v>
      </c>
      <c r="K6" s="89">
        <f t="shared" si="9"/>
        <v>4991732.6936578583</v>
      </c>
      <c r="L6" s="89">
        <f t="shared" si="10"/>
        <v>2536.6159531027874</v>
      </c>
      <c r="M6" s="90">
        <f t="shared" si="11"/>
        <v>1394.0547502949507</v>
      </c>
    </row>
    <row r="7" spans="1:13" x14ac:dyDescent="0.25">
      <c r="A7" s="32">
        <f t="shared" si="12"/>
        <v>213</v>
      </c>
      <c r="B7" s="89" t="e">
        <f t="shared" si="0"/>
        <v>#N/A</v>
      </c>
      <c r="C7" s="89" t="e">
        <f t="shared" si="1"/>
        <v>#N/A</v>
      </c>
      <c r="D7" s="89" t="e">
        <f t="shared" si="2"/>
        <v>#N/A</v>
      </c>
      <c r="E7" s="89" t="e">
        <f t="shared" si="3"/>
        <v>#N/A</v>
      </c>
      <c r="F7" s="89" t="e">
        <f t="shared" si="4"/>
        <v>#N/A</v>
      </c>
      <c r="G7" s="90" t="e">
        <f t="shared" si="5"/>
        <v>#N/A</v>
      </c>
      <c r="H7" s="89">
        <f t="shared" si="6"/>
        <v>185148.44938173643</v>
      </c>
      <c r="I7" s="89">
        <f t="shared" si="7"/>
        <v>3286384.9765258222</v>
      </c>
      <c r="J7" s="89">
        <f t="shared" si="8"/>
        <v>23474.178403755868</v>
      </c>
      <c r="K7" s="89">
        <f t="shared" si="9"/>
        <v>4968264.4732442442</v>
      </c>
      <c r="L7" s="89">
        <f t="shared" si="10"/>
        <v>2524.6902619759885</v>
      </c>
      <c r="M7" s="90">
        <f t="shared" si="11"/>
        <v>1387.5007166244111</v>
      </c>
    </row>
    <row r="8" spans="1:13" x14ac:dyDescent="0.25">
      <c r="A8" s="32">
        <f t="shared" si="12"/>
        <v>214</v>
      </c>
      <c r="B8" s="89" t="e">
        <f t="shared" si="0"/>
        <v>#N/A</v>
      </c>
      <c r="C8" s="89" t="e">
        <f t="shared" si="1"/>
        <v>#N/A</v>
      </c>
      <c r="D8" s="89" t="e">
        <f t="shared" si="2"/>
        <v>#N/A</v>
      </c>
      <c r="E8" s="89" t="e">
        <f t="shared" si="3"/>
        <v>#N/A</v>
      </c>
      <c r="F8" s="89" t="e">
        <f t="shared" si="4"/>
        <v>#N/A</v>
      </c>
      <c r="G8" s="90" t="e">
        <f t="shared" si="5"/>
        <v>#N/A</v>
      </c>
      <c r="H8" s="89">
        <f t="shared" si="6"/>
        <v>183422.13293737447</v>
      </c>
      <c r="I8" s="89">
        <f t="shared" si="7"/>
        <v>3271028.0373831778</v>
      </c>
      <c r="J8" s="89">
        <f t="shared" si="8"/>
        <v>23364.485981308411</v>
      </c>
      <c r="K8" s="89">
        <f t="shared" si="9"/>
        <v>4945016.0391491354</v>
      </c>
      <c r="L8" s="89">
        <f t="shared" si="10"/>
        <v>2512.8762582162844</v>
      </c>
      <c r="M8" s="90">
        <f t="shared" si="11"/>
        <v>1381.0080632761292</v>
      </c>
    </row>
    <row r="9" spans="1:13" x14ac:dyDescent="0.25">
      <c r="A9" s="32">
        <f t="shared" si="12"/>
        <v>215</v>
      </c>
      <c r="B9" s="89" t="e">
        <f t="shared" si="0"/>
        <v>#N/A</v>
      </c>
      <c r="C9" s="89" t="e">
        <f t="shared" si="1"/>
        <v>#N/A</v>
      </c>
      <c r="D9" s="89" t="e">
        <f t="shared" si="2"/>
        <v>#N/A</v>
      </c>
      <c r="E9" s="89" t="e">
        <f t="shared" si="3"/>
        <v>#N/A</v>
      </c>
      <c r="F9" s="89" t="e">
        <f t="shared" si="4"/>
        <v>#N/A</v>
      </c>
      <c r="G9" s="90" t="e">
        <f t="shared" si="5"/>
        <v>#N/A</v>
      </c>
      <c r="H9" s="89">
        <f t="shared" si="6"/>
        <v>181719.84856679288</v>
      </c>
      <c r="I9" s="89">
        <f t="shared" si="7"/>
        <v>3255813.9534883723</v>
      </c>
      <c r="J9" s="89">
        <f t="shared" si="8"/>
        <v>23255.813953488374</v>
      </c>
      <c r="K9" s="89">
        <f t="shared" si="9"/>
        <v>4921984.3161456315</v>
      </c>
      <c r="L9" s="89">
        <f t="shared" si="10"/>
        <v>2501.1723791058585</v>
      </c>
      <c r="M9" s="90">
        <f t="shared" si="11"/>
        <v>1374.5759314231345</v>
      </c>
    </row>
    <row r="10" spans="1:13" x14ac:dyDescent="0.25">
      <c r="A10" s="32">
        <f t="shared" si="12"/>
        <v>216</v>
      </c>
      <c r="B10" s="89" t="e">
        <f t="shared" si="0"/>
        <v>#N/A</v>
      </c>
      <c r="C10" s="89" t="e">
        <f t="shared" si="1"/>
        <v>#N/A</v>
      </c>
      <c r="D10" s="89" t="e">
        <f t="shared" si="2"/>
        <v>#N/A</v>
      </c>
      <c r="E10" s="89" t="e">
        <f t="shared" si="3"/>
        <v>#N/A</v>
      </c>
      <c r="F10" s="89" t="e">
        <f t="shared" si="4"/>
        <v>#N/A</v>
      </c>
      <c r="G10" s="90" t="e">
        <f t="shared" si="5"/>
        <v>#N/A</v>
      </c>
      <c r="H10" s="89">
        <f t="shared" si="6"/>
        <v>180041.1522633745</v>
      </c>
      <c r="I10" s="89">
        <f t="shared" si="7"/>
        <v>3240740.7407407411</v>
      </c>
      <c r="J10" s="89">
        <f t="shared" si="8"/>
        <v>23148.14814814815</v>
      </c>
      <c r="K10" s="89">
        <f t="shared" si="9"/>
        <v>4899166.2861493872</v>
      </c>
      <c r="L10" s="89">
        <f t="shared" si="10"/>
        <v>2489.5770909646508</v>
      </c>
      <c r="M10" s="90">
        <f t="shared" si="11"/>
        <v>1368.2034781968125</v>
      </c>
    </row>
    <row r="11" spans="1:13" x14ac:dyDescent="0.25">
      <c r="A11" s="32">
        <f t="shared" si="12"/>
        <v>217</v>
      </c>
      <c r="B11" s="89" t="e">
        <f t="shared" si="0"/>
        <v>#N/A</v>
      </c>
      <c r="C11" s="89" t="e">
        <f t="shared" si="1"/>
        <v>#N/A</v>
      </c>
      <c r="D11" s="89" t="e">
        <f t="shared" si="2"/>
        <v>#N/A</v>
      </c>
      <c r="E11" s="89" t="e">
        <f t="shared" si="3"/>
        <v>#N/A</v>
      </c>
      <c r="F11" s="89" t="e">
        <f t="shared" si="4"/>
        <v>#N/A</v>
      </c>
      <c r="G11" s="90" t="e">
        <f t="shared" si="5"/>
        <v>#N/A</v>
      </c>
      <c r="H11" s="89">
        <f t="shared" si="6"/>
        <v>178385.61022744165</v>
      </c>
      <c r="I11" s="89">
        <f t="shared" si="7"/>
        <v>3225806.4516129033</v>
      </c>
      <c r="J11" s="89">
        <f t="shared" si="8"/>
        <v>23041.474654377882</v>
      </c>
      <c r="K11" s="89">
        <f t="shared" si="9"/>
        <v>4876558.986896636</v>
      </c>
      <c r="L11" s="89">
        <f t="shared" si="10"/>
        <v>2478.0888884785768</v>
      </c>
      <c r="M11" s="90">
        <f t="shared" si="11"/>
        <v>1361.8898763177137</v>
      </c>
    </row>
    <row r="12" spans="1:13" x14ac:dyDescent="0.25">
      <c r="A12" s="32">
        <f t="shared" si="12"/>
        <v>218</v>
      </c>
      <c r="B12" s="89" t="e">
        <f t="shared" si="0"/>
        <v>#N/A</v>
      </c>
      <c r="C12" s="89" t="e">
        <f t="shared" si="1"/>
        <v>#N/A</v>
      </c>
      <c r="D12" s="89" t="e">
        <f t="shared" si="2"/>
        <v>#N/A</v>
      </c>
      <c r="E12" s="89" t="e">
        <f t="shared" si="3"/>
        <v>#N/A</v>
      </c>
      <c r="F12" s="89" t="e">
        <f t="shared" si="4"/>
        <v>#N/A</v>
      </c>
      <c r="G12" s="90" t="e">
        <f t="shared" si="5"/>
        <v>#N/A</v>
      </c>
      <c r="H12" s="89">
        <f t="shared" si="6"/>
        <v>176752.79858597761</v>
      </c>
      <c r="I12" s="89">
        <f t="shared" si="7"/>
        <v>3211009.1743119266</v>
      </c>
      <c r="J12" s="89">
        <f t="shared" si="8"/>
        <v>22935.779816513761</v>
      </c>
      <c r="K12" s="89">
        <f t="shared" si="9"/>
        <v>4854159.5106587838</v>
      </c>
      <c r="L12" s="89">
        <f t="shared" si="10"/>
        <v>2466.7062940463325</v>
      </c>
      <c r="M12" s="90">
        <f t="shared" si="11"/>
        <v>1355.6343137365743</v>
      </c>
    </row>
    <row r="13" spans="1:13" x14ac:dyDescent="0.25">
      <c r="A13" s="32">
        <f t="shared" si="12"/>
        <v>219</v>
      </c>
      <c r="B13" s="89" t="e">
        <f t="shared" si="0"/>
        <v>#N/A</v>
      </c>
      <c r="C13" s="89" t="e">
        <f t="shared" si="1"/>
        <v>#N/A</v>
      </c>
      <c r="D13" s="89" t="e">
        <f t="shared" si="2"/>
        <v>#N/A</v>
      </c>
      <c r="E13" s="89" t="e">
        <f t="shared" si="3"/>
        <v>#N/A</v>
      </c>
      <c r="F13" s="89" t="e">
        <f t="shared" si="4"/>
        <v>#N/A</v>
      </c>
      <c r="G13" s="90" t="e">
        <f t="shared" si="5"/>
        <v>#N/A</v>
      </c>
      <c r="H13" s="89">
        <f t="shared" si="6"/>
        <v>175142.30312128607</v>
      </c>
      <c r="I13" s="89">
        <f t="shared" si="7"/>
        <v>3196347.0319634709</v>
      </c>
      <c r="J13" s="89">
        <f t="shared" si="8"/>
        <v>22831.050228310502</v>
      </c>
      <c r="K13" s="89">
        <f t="shared" si="9"/>
        <v>4831965.0029923664</v>
      </c>
      <c r="L13" s="89">
        <f t="shared" si="10"/>
        <v>2455.4278571441669</v>
      </c>
      <c r="M13" s="90">
        <f t="shared" si="11"/>
        <v>1349.435993285213</v>
      </c>
    </row>
    <row r="14" spans="1:13" x14ac:dyDescent="0.25">
      <c r="A14" s="94">
        <f t="shared" si="12"/>
        <v>220</v>
      </c>
      <c r="B14" s="95" t="e">
        <f t="shared" si="0"/>
        <v>#N/A</v>
      </c>
      <c r="C14" s="95" t="e">
        <f t="shared" si="1"/>
        <v>#N/A</v>
      </c>
      <c r="D14" s="95" t="e">
        <f t="shared" si="2"/>
        <v>#N/A</v>
      </c>
      <c r="E14" s="95" t="e">
        <f t="shared" si="3"/>
        <v>#N/A</v>
      </c>
      <c r="F14" s="95" t="e">
        <f t="shared" si="4"/>
        <v>#N/A</v>
      </c>
      <c r="G14" s="96" t="e">
        <f t="shared" si="5"/>
        <v>#N/A</v>
      </c>
      <c r="H14" s="95">
        <f t="shared" si="6"/>
        <v>173553.71900826448</v>
      </c>
      <c r="I14" s="95">
        <f t="shared" si="7"/>
        <v>3181818.1818181816</v>
      </c>
      <c r="J14" s="95">
        <f t="shared" si="8"/>
        <v>22727.272727272728</v>
      </c>
      <c r="K14" s="95">
        <f t="shared" si="9"/>
        <v>4809972.6615232611</v>
      </c>
      <c r="L14" s="95">
        <f t="shared" si="10"/>
        <v>2444.2521537080643</v>
      </c>
      <c r="M14" s="96">
        <f t="shared" si="11"/>
        <v>1343.2941323369962</v>
      </c>
    </row>
    <row r="15" spans="1:13" x14ac:dyDescent="0.25">
      <c r="A15" s="32">
        <f t="shared" si="12"/>
        <v>221</v>
      </c>
      <c r="B15" s="89" t="e">
        <f t="shared" si="0"/>
        <v>#N/A</v>
      </c>
      <c r="C15" s="89" t="e">
        <f t="shared" si="1"/>
        <v>#N/A</v>
      </c>
      <c r="D15" s="89" t="e">
        <f t="shared" si="2"/>
        <v>#N/A</v>
      </c>
      <c r="E15" s="89" t="e">
        <f t="shared" si="3"/>
        <v>#N/A</v>
      </c>
      <c r="F15" s="89" t="e">
        <f t="shared" si="4"/>
        <v>#N/A</v>
      </c>
      <c r="G15" s="90" t="e">
        <f t="shared" si="5"/>
        <v>#N/A</v>
      </c>
      <c r="H15" s="89">
        <f t="shared" si="6"/>
        <v>171986.65055998033</v>
      </c>
      <c r="I15" s="89">
        <f t="shared" si="7"/>
        <v>3167420.8144796384</v>
      </c>
      <c r="J15" s="89">
        <f t="shared" si="8"/>
        <v>22624.434389140271</v>
      </c>
      <c r="K15" s="89">
        <f t="shared" si="9"/>
        <v>4788179.7347640675</v>
      </c>
      <c r="L15" s="89">
        <f t="shared" si="10"/>
        <v>2433.17778553278</v>
      </c>
      <c r="M15" s="90">
        <f t="shared" si="11"/>
        <v>1337.207962476562</v>
      </c>
    </row>
    <row r="16" spans="1:13" x14ac:dyDescent="0.25">
      <c r="A16" s="32">
        <f t="shared" si="12"/>
        <v>222</v>
      </c>
      <c r="B16" s="89" t="e">
        <f t="shared" si="0"/>
        <v>#N/A</v>
      </c>
      <c r="C16" s="89" t="e">
        <f t="shared" si="1"/>
        <v>#N/A</v>
      </c>
      <c r="D16" s="89" t="e">
        <f t="shared" si="2"/>
        <v>#N/A</v>
      </c>
      <c r="E16" s="89" t="e">
        <f t="shared" si="3"/>
        <v>#N/A</v>
      </c>
      <c r="F16" s="89" t="e">
        <f t="shared" si="4"/>
        <v>#N/A</v>
      </c>
      <c r="G16" s="90" t="e">
        <f t="shared" si="5"/>
        <v>#N/A</v>
      </c>
      <c r="H16" s="89">
        <f t="shared" si="6"/>
        <v>170440.71098125153</v>
      </c>
      <c r="I16" s="89">
        <f t="shared" si="7"/>
        <v>3153153.1531531536</v>
      </c>
      <c r="J16" s="89">
        <f t="shared" si="8"/>
        <v>22522.522522522522</v>
      </c>
      <c r="K16" s="89">
        <f t="shared" si="9"/>
        <v>4766583.520963571</v>
      </c>
      <c r="L16" s="89">
        <f t="shared" si="10"/>
        <v>2422.2033796871788</v>
      </c>
      <c r="M16" s="90">
        <f t="shared" si="11"/>
        <v>1331.1767291785095</v>
      </c>
    </row>
    <row r="17" spans="1:13" x14ac:dyDescent="0.25">
      <c r="A17" s="32">
        <f t="shared" si="12"/>
        <v>223</v>
      </c>
      <c r="B17" s="89" t="e">
        <f t="shared" si="0"/>
        <v>#N/A</v>
      </c>
      <c r="C17" s="89" t="e">
        <f t="shared" si="1"/>
        <v>#N/A</v>
      </c>
      <c r="D17" s="89" t="e">
        <f t="shared" si="2"/>
        <v>#N/A</v>
      </c>
      <c r="E17" s="89" t="e">
        <f t="shared" si="3"/>
        <v>#N/A</v>
      </c>
      <c r="F17" s="89" t="e">
        <f t="shared" si="4"/>
        <v>#N/A</v>
      </c>
      <c r="G17" s="90" t="e">
        <f t="shared" si="5"/>
        <v>#N/A</v>
      </c>
      <c r="H17" s="89">
        <f t="shared" si="6"/>
        <v>168915.52212994429</v>
      </c>
      <c r="I17" s="89">
        <f t="shared" si="7"/>
        <v>3139013.4529147982</v>
      </c>
      <c r="J17" s="89">
        <f t="shared" si="8"/>
        <v>22421.52466367713</v>
      </c>
      <c r="K17" s="89">
        <f t="shared" si="9"/>
        <v>4745181.3669873197</v>
      </c>
      <c r="L17" s="89">
        <f t="shared" si="10"/>
        <v>2411.3275879453859</v>
      </c>
      <c r="M17" s="90">
        <f t="shared" si="11"/>
        <v>1325.199691494772</v>
      </c>
    </row>
    <row r="18" spans="1:13" x14ac:dyDescent="0.25">
      <c r="A18" s="32">
        <f t="shared" si="12"/>
        <v>224</v>
      </c>
      <c r="B18" s="89" t="e">
        <f t="shared" si="0"/>
        <v>#N/A</v>
      </c>
      <c r="C18" s="89" t="e">
        <f t="shared" si="1"/>
        <v>#N/A</v>
      </c>
      <c r="D18" s="89" t="e">
        <f t="shared" si="2"/>
        <v>#N/A</v>
      </c>
      <c r="E18" s="89" t="e">
        <f t="shared" si="3"/>
        <v>#N/A</v>
      </c>
      <c r="F18" s="89" t="e">
        <f t="shared" si="4"/>
        <v>#N/A</v>
      </c>
      <c r="G18" s="90" t="e">
        <f t="shared" si="5"/>
        <v>#N/A</v>
      </c>
      <c r="H18" s="89">
        <f t="shared" si="6"/>
        <v>167410.71428571426</v>
      </c>
      <c r="I18" s="89">
        <f t="shared" si="7"/>
        <v>3125000</v>
      </c>
      <c r="J18" s="89">
        <f t="shared" si="8"/>
        <v>22321.428571428572</v>
      </c>
      <c r="K18" s="89">
        <f t="shared" si="9"/>
        <v>4723970.6672283141</v>
      </c>
      <c r="L18" s="89">
        <f t="shared" si="10"/>
        <v>2400.5490862332399</v>
      </c>
      <c r="M18" s="90">
        <f t="shared" si="11"/>
        <v>1319.2761217504046</v>
      </c>
    </row>
    <row r="19" spans="1:13" x14ac:dyDescent="0.25">
      <c r="A19" s="32">
        <f t="shared" si="12"/>
        <v>225</v>
      </c>
      <c r="B19" s="89" t="e">
        <f t="shared" si="0"/>
        <v>#N/A</v>
      </c>
      <c r="C19" s="89" t="e">
        <f t="shared" si="1"/>
        <v>#N/A</v>
      </c>
      <c r="D19" s="89" t="e">
        <f t="shared" si="2"/>
        <v>#N/A</v>
      </c>
      <c r="E19" s="89" t="e">
        <f t="shared" si="3"/>
        <v>#N/A</v>
      </c>
      <c r="F19" s="89" t="e">
        <f t="shared" si="4"/>
        <v>#N/A</v>
      </c>
      <c r="G19" s="90" t="e">
        <f t="shared" si="5"/>
        <v>#N/A</v>
      </c>
      <c r="H19" s="89">
        <f t="shared" si="6"/>
        <v>165925.92592592593</v>
      </c>
      <c r="I19" s="89">
        <f t="shared" si="7"/>
        <v>3111111.1111111115</v>
      </c>
      <c r="J19" s="89">
        <f t="shared" si="8"/>
        <v>22222.222222222223</v>
      </c>
      <c r="K19" s="89">
        <f t="shared" si="9"/>
        <v>4702948.862546863</v>
      </c>
      <c r="L19" s="89">
        <f t="shared" si="10"/>
        <v>2389.8665740895649</v>
      </c>
      <c r="M19" s="90">
        <f t="shared" si="11"/>
        <v>1313.4053052475131</v>
      </c>
    </row>
    <row r="20" spans="1:13" x14ac:dyDescent="0.25">
      <c r="A20" s="32">
        <f t="shared" si="12"/>
        <v>226</v>
      </c>
      <c r="B20" s="89" t="e">
        <f t="shared" si="0"/>
        <v>#N/A</v>
      </c>
      <c r="C20" s="89" t="e">
        <f t="shared" si="1"/>
        <v>#N/A</v>
      </c>
      <c r="D20" s="89" t="e">
        <f t="shared" si="2"/>
        <v>#N/A</v>
      </c>
      <c r="E20" s="89" t="e">
        <f t="shared" si="3"/>
        <v>#N/A</v>
      </c>
      <c r="F20" s="89" t="e">
        <f t="shared" si="4"/>
        <v>#N/A</v>
      </c>
      <c r="G20" s="90" t="e">
        <f t="shared" si="5"/>
        <v>#N/A</v>
      </c>
      <c r="H20" s="89">
        <f t="shared" si="6"/>
        <v>164460.80350849713</v>
      </c>
      <c r="I20" s="89">
        <f t="shared" si="7"/>
        <v>3097345.1327433628</v>
      </c>
      <c r="J20" s="89">
        <f t="shared" si="8"/>
        <v>22123.893805309734</v>
      </c>
      <c r="K20" s="89">
        <f t="shared" si="9"/>
        <v>4682113.4392387168</v>
      </c>
      <c r="L20" s="89">
        <f t="shared" si="10"/>
        <v>2379.2787741418142</v>
      </c>
      <c r="M20" s="90">
        <f t="shared" si="11"/>
        <v>1307.5865399770828</v>
      </c>
    </row>
    <row r="21" spans="1:13" x14ac:dyDescent="0.25">
      <c r="A21" s="32">
        <f t="shared" si="12"/>
        <v>227</v>
      </c>
      <c r="B21" s="89" t="e">
        <f t="shared" si="0"/>
        <v>#N/A</v>
      </c>
      <c r="C21" s="89" t="e">
        <f t="shared" si="1"/>
        <v>#N/A</v>
      </c>
      <c r="D21" s="89" t="e">
        <f t="shared" si="2"/>
        <v>#N/A</v>
      </c>
      <c r="E21" s="89" t="e">
        <f t="shared" si="3"/>
        <v>#N/A</v>
      </c>
      <c r="F21" s="89" t="e">
        <f t="shared" si="4"/>
        <v>#N/A</v>
      </c>
      <c r="G21" s="90" t="e">
        <f t="shared" si="5"/>
        <v>#N/A</v>
      </c>
      <c r="H21" s="89">
        <f t="shared" si="6"/>
        <v>163015.00126142558</v>
      </c>
      <c r="I21" s="89">
        <f t="shared" si="7"/>
        <v>3083700.4405286345</v>
      </c>
      <c r="J21" s="89">
        <f t="shared" si="8"/>
        <v>22026.431718061674</v>
      </c>
      <c r="K21" s="89">
        <f t="shared" si="9"/>
        <v>4661461.9280305915</v>
      </c>
      <c r="L21" s="89">
        <f t="shared" si="10"/>
        <v>2368.7844315956349</v>
      </c>
      <c r="M21" s="90">
        <f t="shared" si="11"/>
        <v>1301.8191363384558</v>
      </c>
    </row>
    <row r="22" spans="1:13" x14ac:dyDescent="0.25">
      <c r="A22" s="32">
        <f t="shared" si="12"/>
        <v>228</v>
      </c>
      <c r="B22" s="89" t="e">
        <f t="shared" si="0"/>
        <v>#N/A</v>
      </c>
      <c r="C22" s="89" t="e">
        <f t="shared" si="1"/>
        <v>#N/A</v>
      </c>
      <c r="D22" s="89" t="e">
        <f t="shared" si="2"/>
        <v>#N/A</v>
      </c>
      <c r="E22" s="89" t="e">
        <f t="shared" si="3"/>
        <v>#N/A</v>
      </c>
      <c r="F22" s="89" t="e">
        <f t="shared" si="4"/>
        <v>#N/A</v>
      </c>
      <c r="G22" s="90" t="e">
        <f t="shared" si="5"/>
        <v>#N/A</v>
      </c>
      <c r="H22" s="89">
        <f t="shared" si="6"/>
        <v>161588.18097876268</v>
      </c>
      <c r="I22" s="89">
        <f t="shared" si="7"/>
        <v>3070175.4385964917</v>
      </c>
      <c r="J22" s="89">
        <f t="shared" si="8"/>
        <v>21929.824561403508</v>
      </c>
      <c r="K22" s="89">
        <f t="shared" si="9"/>
        <v>4640991.9031022349</v>
      </c>
      <c r="L22" s="89">
        <f t="shared" si="10"/>
        <v>2358.3823137379109</v>
      </c>
      <c r="M22" s="90">
        <f t="shared" si="11"/>
        <v>1296.1024168662198</v>
      </c>
    </row>
    <row r="23" spans="1:13" x14ac:dyDescent="0.25">
      <c r="A23" s="32">
        <f t="shared" si="12"/>
        <v>229</v>
      </c>
      <c r="B23" s="89" t="e">
        <f t="shared" si="0"/>
        <v>#N/A</v>
      </c>
      <c r="C23" s="89" t="e">
        <f t="shared" si="1"/>
        <v>#N/A</v>
      </c>
      <c r="D23" s="89" t="e">
        <f t="shared" si="2"/>
        <v>#N/A</v>
      </c>
      <c r="E23" s="89" t="e">
        <f t="shared" si="3"/>
        <v>#N/A</v>
      </c>
      <c r="F23" s="89" t="e">
        <f t="shared" si="4"/>
        <v>#N/A</v>
      </c>
      <c r="G23" s="90" t="e">
        <f t="shared" si="5"/>
        <v>#N/A</v>
      </c>
      <c r="H23" s="89">
        <f t="shared" si="6"/>
        <v>160180.0118228104</v>
      </c>
      <c r="I23" s="89">
        <f t="shared" si="7"/>
        <v>3056768.5589519651</v>
      </c>
      <c r="J23" s="89">
        <f t="shared" si="8"/>
        <v>21834.061135371179</v>
      </c>
      <c r="K23" s="89">
        <f t="shared" si="9"/>
        <v>4620700.9811342191</v>
      </c>
      <c r="L23" s="89">
        <f t="shared" si="10"/>
        <v>2348.071209452894</v>
      </c>
      <c r="M23" s="90">
        <f t="shared" si="11"/>
        <v>1290.4357159642832</v>
      </c>
    </row>
    <row r="24" spans="1:13" x14ac:dyDescent="0.25">
      <c r="A24" s="32">
        <f t="shared" si="12"/>
        <v>230</v>
      </c>
      <c r="B24" s="89" t="e">
        <f t="shared" si="0"/>
        <v>#N/A</v>
      </c>
      <c r="C24" s="89" t="e">
        <f t="shared" si="1"/>
        <v>#N/A</v>
      </c>
      <c r="D24" s="89" t="e">
        <f t="shared" si="2"/>
        <v>#N/A</v>
      </c>
      <c r="E24" s="89" t="e">
        <f t="shared" si="3"/>
        <v>#N/A</v>
      </c>
      <c r="F24" s="89" t="e">
        <f t="shared" si="4"/>
        <v>#N/A</v>
      </c>
      <c r="G24" s="90" t="e">
        <f t="shared" si="5"/>
        <v>#N/A</v>
      </c>
      <c r="H24" s="89">
        <f t="shared" si="6"/>
        <v>158790.17013232515</v>
      </c>
      <c r="I24" s="89">
        <f t="shared" si="7"/>
        <v>3043478.2608695654</v>
      </c>
      <c r="J24" s="89">
        <f t="shared" si="8"/>
        <v>21739.130434782608</v>
      </c>
      <c r="K24" s="89">
        <f t="shared" si="9"/>
        <v>4600586.820380698</v>
      </c>
      <c r="L24" s="89">
        <f t="shared" si="10"/>
        <v>2337.849928751009</v>
      </c>
      <c r="M24" s="90">
        <f t="shared" si="11"/>
        <v>1284.8183796469223</v>
      </c>
    </row>
    <row r="25" spans="1:13" x14ac:dyDescent="0.25">
      <c r="A25" s="32">
        <f t="shared" si="12"/>
        <v>231</v>
      </c>
      <c r="B25" s="89" t="e">
        <f t="shared" si="0"/>
        <v>#N/A</v>
      </c>
      <c r="C25" s="89" t="e">
        <f t="shared" si="1"/>
        <v>#N/A</v>
      </c>
      <c r="D25" s="89" t="e">
        <f t="shared" si="2"/>
        <v>#N/A</v>
      </c>
      <c r="E25" s="89" t="e">
        <f t="shared" si="3"/>
        <v>#N/A</v>
      </c>
      <c r="F25" s="89" t="e">
        <f t="shared" si="4"/>
        <v>#N/A</v>
      </c>
      <c r="G25" s="90" t="e">
        <f t="shared" si="5"/>
        <v>#N/A</v>
      </c>
      <c r="H25" s="89">
        <f t="shared" si="6"/>
        <v>157418.33923652105</v>
      </c>
      <c r="I25" s="89">
        <f t="shared" si="7"/>
        <v>3030303.0303030307</v>
      </c>
      <c r="J25" s="89">
        <f t="shared" si="8"/>
        <v>21645.021645021643</v>
      </c>
      <c r="K25" s="89">
        <f t="shared" si="9"/>
        <v>4580647.119766321</v>
      </c>
      <c r="L25" s="89">
        <f t="shared" si="10"/>
        <v>2327.7173023099367</v>
      </c>
      <c r="M25" s="90">
        <f t="shared" si="11"/>
        <v>1279.2497652865725</v>
      </c>
    </row>
    <row r="26" spans="1:13" x14ac:dyDescent="0.25">
      <c r="A26" s="32">
        <f t="shared" si="12"/>
        <v>232</v>
      </c>
      <c r="B26" s="89" t="e">
        <f t="shared" si="0"/>
        <v>#N/A</v>
      </c>
      <c r="C26" s="89" t="e">
        <f t="shared" si="1"/>
        <v>#N/A</v>
      </c>
      <c r="D26" s="89" t="e">
        <f t="shared" si="2"/>
        <v>#N/A</v>
      </c>
      <c r="E26" s="89" t="e">
        <f t="shared" si="3"/>
        <v>#N/A</v>
      </c>
      <c r="F26" s="89" t="e">
        <f t="shared" si="4"/>
        <v>#N/A</v>
      </c>
      <c r="G26" s="90" t="e">
        <f t="shared" si="5"/>
        <v>#N/A</v>
      </c>
      <c r="H26" s="89">
        <f t="shared" si="6"/>
        <v>156064.20927467299</v>
      </c>
      <c r="I26" s="89">
        <f t="shared" si="7"/>
        <v>3017241.3793103448</v>
      </c>
      <c r="J26" s="89">
        <f t="shared" si="8"/>
        <v>21551.724137931033</v>
      </c>
      <c r="K26" s="89">
        <f t="shared" si="9"/>
        <v>4560879.618006614</v>
      </c>
      <c r="L26" s="89">
        <f t="shared" si="10"/>
        <v>2317.6721810276281</v>
      </c>
      <c r="M26" s="90">
        <f t="shared" si="11"/>
        <v>1273.7292413681751</v>
      </c>
    </row>
    <row r="27" spans="1:13" x14ac:dyDescent="0.25">
      <c r="A27" s="32">
        <f t="shared" si="12"/>
        <v>233</v>
      </c>
      <c r="B27" s="89" t="e">
        <f t="shared" si="0"/>
        <v>#N/A</v>
      </c>
      <c r="C27" s="89" t="e">
        <f t="shared" si="1"/>
        <v>#N/A</v>
      </c>
      <c r="D27" s="89" t="e">
        <f t="shared" si="2"/>
        <v>#N/A</v>
      </c>
      <c r="E27" s="89" t="e">
        <f t="shared" si="3"/>
        <v>#N/A</v>
      </c>
      <c r="F27" s="89" t="e">
        <f t="shared" si="4"/>
        <v>#N/A</v>
      </c>
      <c r="G27" s="90" t="e">
        <f t="shared" si="5"/>
        <v>#N/A</v>
      </c>
      <c r="H27" s="89">
        <f t="shared" si="6"/>
        <v>154727.47702112765</v>
      </c>
      <c r="I27" s="89">
        <f t="shared" si="7"/>
        <v>3004291.8454935625</v>
      </c>
      <c r="J27" s="89">
        <f t="shared" si="8"/>
        <v>21459.227467811157</v>
      </c>
      <c r="K27" s="89">
        <f t="shared" si="9"/>
        <v>4541282.0927511165</v>
      </c>
      <c r="L27" s="89">
        <f t="shared" si="10"/>
        <v>2307.7134355868734</v>
      </c>
      <c r="M27" s="90">
        <f t="shared" si="11"/>
        <v>1268.25618724988</v>
      </c>
    </row>
    <row r="28" spans="1:13" x14ac:dyDescent="0.25">
      <c r="A28" s="32">
        <f t="shared" si="12"/>
        <v>234</v>
      </c>
      <c r="B28" s="89" t="e">
        <f t="shared" si="0"/>
        <v>#N/A</v>
      </c>
      <c r="C28" s="89" t="e">
        <f t="shared" si="1"/>
        <v>#N/A</v>
      </c>
      <c r="D28" s="89" t="e">
        <f t="shared" si="2"/>
        <v>#N/A</v>
      </c>
      <c r="E28" s="89" t="e">
        <f t="shared" si="3"/>
        <v>#N/A</v>
      </c>
      <c r="F28" s="89" t="e">
        <f t="shared" si="4"/>
        <v>#N/A</v>
      </c>
      <c r="G28" s="90" t="e">
        <f t="shared" si="5"/>
        <v>#N/A</v>
      </c>
      <c r="H28" s="89">
        <f t="shared" si="6"/>
        <v>153407.84571553802</v>
      </c>
      <c r="I28" s="89">
        <f t="shared" si="7"/>
        <v>2991452.991452992</v>
      </c>
      <c r="J28" s="89">
        <f t="shared" si="8"/>
        <v>21367.521367521367</v>
      </c>
      <c r="K28" s="89">
        <f t="shared" si="9"/>
        <v>4521852.3597485395</v>
      </c>
      <c r="L28" s="89">
        <f t="shared" si="10"/>
        <v>2297.8399560310709</v>
      </c>
      <c r="M28" s="90">
        <f t="shared" si="11"/>
        <v>1262.8299929298962</v>
      </c>
    </row>
    <row r="29" spans="1:13" x14ac:dyDescent="0.25">
      <c r="A29" s="32">
        <f t="shared" si="12"/>
        <v>235</v>
      </c>
      <c r="B29" s="89" t="e">
        <f t="shared" si="0"/>
        <v>#N/A</v>
      </c>
      <c r="C29" s="89" t="e">
        <f t="shared" si="1"/>
        <v>#N/A</v>
      </c>
      <c r="D29" s="89" t="e">
        <f t="shared" si="2"/>
        <v>#N/A</v>
      </c>
      <c r="E29" s="89" t="e">
        <f t="shared" si="3"/>
        <v>#N/A</v>
      </c>
      <c r="F29" s="89" t="e">
        <f t="shared" si="4"/>
        <v>#N/A</v>
      </c>
      <c r="G29" s="90" t="e">
        <f t="shared" si="5"/>
        <v>#N/A</v>
      </c>
      <c r="H29" s="89">
        <f t="shared" si="6"/>
        <v>152105.02489814392</v>
      </c>
      <c r="I29" s="89">
        <f t="shared" si="7"/>
        <v>2978723.4042553189</v>
      </c>
      <c r="J29" s="89">
        <f t="shared" si="8"/>
        <v>21276.59574468085</v>
      </c>
      <c r="K29" s="89">
        <f t="shared" si="9"/>
        <v>4502588.2720333701</v>
      </c>
      <c r="L29" s="89">
        <f t="shared" si="10"/>
        <v>2288.0506513508826</v>
      </c>
      <c r="M29" s="90">
        <f t="shared" si="11"/>
        <v>1257.4500588193314</v>
      </c>
    </row>
    <row r="30" spans="1:13" x14ac:dyDescent="0.25">
      <c r="A30" s="32">
        <f t="shared" si="12"/>
        <v>236</v>
      </c>
      <c r="B30" s="89" t="e">
        <f t="shared" si="0"/>
        <v>#N/A</v>
      </c>
      <c r="C30" s="89" t="e">
        <f t="shared" si="1"/>
        <v>#N/A</v>
      </c>
      <c r="D30" s="89" t="e">
        <f t="shared" si="2"/>
        <v>#N/A</v>
      </c>
      <c r="E30" s="89" t="e">
        <f t="shared" si="3"/>
        <v>#N/A</v>
      </c>
      <c r="F30" s="89" t="e">
        <f t="shared" si="4"/>
        <v>#N/A</v>
      </c>
      <c r="G30" s="90" t="e">
        <f t="shared" si="5"/>
        <v>#N/A</v>
      </c>
      <c r="H30" s="89">
        <f t="shared" si="6"/>
        <v>150818.73024992816</v>
      </c>
      <c r="I30" s="89">
        <f t="shared" si="7"/>
        <v>2966101.6949152541</v>
      </c>
      <c r="J30" s="89">
        <f t="shared" si="8"/>
        <v>21186.4406779661</v>
      </c>
      <c r="K30" s="89">
        <f t="shared" si="9"/>
        <v>4483487.7191332132</v>
      </c>
      <c r="L30" s="89">
        <f t="shared" si="10"/>
        <v>2278.3444490814427</v>
      </c>
      <c r="M30" s="90">
        <f t="shared" si="11"/>
        <v>1252.1157955208271</v>
      </c>
    </row>
    <row r="31" spans="1:13" x14ac:dyDescent="0.25">
      <c r="A31" s="32">
        <f t="shared" si="12"/>
        <v>237</v>
      </c>
      <c r="B31" s="89" t="e">
        <f t="shared" si="0"/>
        <v>#N/A</v>
      </c>
      <c r="C31" s="89" t="e">
        <f t="shared" si="1"/>
        <v>#N/A</v>
      </c>
      <c r="D31" s="89" t="e">
        <f t="shared" si="2"/>
        <v>#N/A</v>
      </c>
      <c r="E31" s="89" t="e">
        <f t="shared" si="3"/>
        <v>#N/A</v>
      </c>
      <c r="F31" s="89" t="e">
        <f t="shared" si="4"/>
        <v>#N/A</v>
      </c>
      <c r="G31" s="90" t="e">
        <f t="shared" si="5"/>
        <v>#N/A</v>
      </c>
      <c r="H31" s="89">
        <f t="shared" si="6"/>
        <v>149548.68343748327</v>
      </c>
      <c r="I31" s="89">
        <f t="shared" si="7"/>
        <v>2953586.4978902955</v>
      </c>
      <c r="J31" s="89">
        <f t="shared" si="8"/>
        <v>21097.046413502107</v>
      </c>
      <c r="K31" s="89">
        <f t="shared" si="9"/>
        <v>4464548.6262962697</v>
      </c>
      <c r="L31" s="89">
        <f t="shared" si="10"/>
        <v>2268.7202949097814</v>
      </c>
      <c r="M31" s="90">
        <f t="shared" si="11"/>
        <v>1246.8266236128115</v>
      </c>
    </row>
    <row r="32" spans="1:13" x14ac:dyDescent="0.25">
      <c r="A32" s="32">
        <f t="shared" si="12"/>
        <v>238</v>
      </c>
      <c r="B32" s="89" t="e">
        <f t="shared" si="0"/>
        <v>#N/A</v>
      </c>
      <c r="C32" s="89" t="e">
        <f t="shared" si="1"/>
        <v>#N/A</v>
      </c>
      <c r="D32" s="89" t="e">
        <f t="shared" si="2"/>
        <v>#N/A</v>
      </c>
      <c r="E32" s="89" t="e">
        <f t="shared" si="3"/>
        <v>#N/A</v>
      </c>
      <c r="F32" s="89" t="e">
        <f t="shared" si="4"/>
        <v>#N/A</v>
      </c>
      <c r="G32" s="90" t="e">
        <f t="shared" si="5"/>
        <v>#N/A</v>
      </c>
      <c r="H32" s="89">
        <f t="shared" si="6"/>
        <v>148294.61196243201</v>
      </c>
      <c r="I32" s="89">
        <f t="shared" si="7"/>
        <v>2941176.4705882352</v>
      </c>
      <c r="J32" s="89">
        <f t="shared" si="8"/>
        <v>21008.403361344535</v>
      </c>
      <c r="K32" s="89">
        <f t="shared" si="9"/>
        <v>4445768.953738397</v>
      </c>
      <c r="L32" s="89">
        <f t="shared" si="10"/>
        <v>2259.1771522922145</v>
      </c>
      <c r="M32" s="90">
        <f t="shared" si="11"/>
        <v>1241.5819734392257</v>
      </c>
    </row>
    <row r="33" spans="1:13" x14ac:dyDescent="0.25">
      <c r="A33" s="32">
        <f t="shared" si="12"/>
        <v>239</v>
      </c>
      <c r="B33" s="89" t="e">
        <f t="shared" si="0"/>
        <v>#N/A</v>
      </c>
      <c r="C33" s="89" t="e">
        <f t="shared" si="1"/>
        <v>#N/A</v>
      </c>
      <c r="D33" s="89" t="e">
        <f t="shared" si="2"/>
        <v>#N/A</v>
      </c>
      <c r="E33" s="89" t="e">
        <f t="shared" si="3"/>
        <v>#N/A</v>
      </c>
      <c r="F33" s="89" t="e">
        <f t="shared" si="4"/>
        <v>#N/A</v>
      </c>
      <c r="G33" s="90" t="e">
        <f t="shared" si="5"/>
        <v>#N/A</v>
      </c>
      <c r="H33" s="89">
        <f t="shared" si="6"/>
        <v>147056.24901524829</v>
      </c>
      <c r="I33" s="89">
        <f t="shared" si="7"/>
        <v>2928870.2928870292</v>
      </c>
      <c r="J33" s="89">
        <f t="shared" si="8"/>
        <v>20920.502092050207</v>
      </c>
      <c r="K33" s="89">
        <f t="shared" si="9"/>
        <v>4427146.6959091164</v>
      </c>
      <c r="L33" s="89">
        <f t="shared" si="10"/>
        <v>2249.714002081354</v>
      </c>
      <c r="M33" s="90">
        <f t="shared" si="11"/>
        <v>1236.3812849045391</v>
      </c>
    </row>
    <row r="34" spans="1:13" x14ac:dyDescent="0.25">
      <c r="A34" s="32">
        <f t="shared" si="12"/>
        <v>240</v>
      </c>
      <c r="B34" s="89" t="e">
        <f t="shared" si="0"/>
        <v>#N/A</v>
      </c>
      <c r="C34" s="89" t="e">
        <f t="shared" si="1"/>
        <v>#N/A</v>
      </c>
      <c r="D34" s="89" t="e">
        <f t="shared" si="2"/>
        <v>#N/A</v>
      </c>
      <c r="E34" s="89" t="e">
        <f t="shared" si="3"/>
        <v>#N/A</v>
      </c>
      <c r="F34" s="89" t="e">
        <f t="shared" si="4"/>
        <v>#N/A</v>
      </c>
      <c r="G34" s="90" t="e">
        <f t="shared" si="5"/>
        <v>#N/A</v>
      </c>
      <c r="H34" s="89">
        <f t="shared" si="6"/>
        <v>145833.33333333334</v>
      </c>
      <c r="I34" s="89">
        <f t="shared" si="7"/>
        <v>2916666.666666667</v>
      </c>
      <c r="J34" s="89">
        <f t="shared" si="8"/>
        <v>20833.333333333336</v>
      </c>
      <c r="K34" s="89">
        <f t="shared" si="9"/>
        <v>4408679.8807760598</v>
      </c>
      <c r="L34" s="89">
        <f t="shared" si="10"/>
        <v>2240.3298421624895</v>
      </c>
      <c r="M34" s="90">
        <f t="shared" si="11"/>
        <v>1231.2240072739153</v>
      </c>
    </row>
    <row r="35" spans="1:13" x14ac:dyDescent="0.25">
      <c r="A35" s="32">
        <f t="shared" si="12"/>
        <v>241</v>
      </c>
      <c r="B35" s="89" t="e">
        <f t="shared" si="0"/>
        <v>#N/A</v>
      </c>
      <c r="C35" s="89" t="e">
        <f t="shared" si="1"/>
        <v>#N/A</v>
      </c>
      <c r="D35" s="89" t="e">
        <f t="shared" si="2"/>
        <v>#N/A</v>
      </c>
      <c r="E35" s="89" t="e">
        <f t="shared" si="3"/>
        <v>#N/A</v>
      </c>
      <c r="F35" s="89" t="e">
        <f t="shared" si="4"/>
        <v>#N/A</v>
      </c>
      <c r="G35" s="90" t="e">
        <f t="shared" si="5"/>
        <v>#N/A</v>
      </c>
      <c r="H35" s="89">
        <f t="shared" si="6"/>
        <v>144625.60906320484</v>
      </c>
      <c r="I35" s="89">
        <f t="shared" si="7"/>
        <v>2904564.3153526969</v>
      </c>
      <c r="J35" s="89">
        <f t="shared" si="8"/>
        <v>20746.887966804981</v>
      </c>
      <c r="K35" s="89">
        <f t="shared" si="9"/>
        <v>4390366.5691272877</v>
      </c>
      <c r="L35" s="89">
        <f t="shared" si="10"/>
        <v>2231.0236870990507</v>
      </c>
      <c r="M35" s="90">
        <f t="shared" si="11"/>
        <v>1226.1095989783671</v>
      </c>
    </row>
    <row r="36" spans="1:13" x14ac:dyDescent="0.25">
      <c r="A36" s="32">
        <f t="shared" si="12"/>
        <v>242</v>
      </c>
      <c r="B36" s="89" t="e">
        <f t="shared" ref="B36:B67" si="13">IF(Load_Case=1,(6*FL_SUS*H_Trunnion)/(A36*0.001)^2,NA())</f>
        <v>#N/A</v>
      </c>
      <c r="C36" s="89" t="e">
        <f t="shared" ref="C36:C67" si="14">IF(Load_Case=1,(6*FC_SUS*H_STRA)/(A36*t_STRA*0.000001),NA())</f>
        <v>#N/A</v>
      </c>
      <c r="D36" s="89" t="e">
        <f t="shared" ref="D36:D67" si="15">IF(Load_Case=1,FA_SUS*1000/(A36*0.001),NA())</f>
        <v>#N/A</v>
      </c>
      <c r="E36" s="89" t="e">
        <f t="shared" ref="E36:E67" si="16">1.5*D36+SQRT((B36^2+(1.5*C36)^2))</f>
        <v>#N/A</v>
      </c>
      <c r="F36" s="89" t="e">
        <f t="shared" ref="F36:F67" si="17">IF(SL_STRA,(1.17*E36*SQRT(0.5*D*0.001))*0.000001/((tnet_STRA*0.001)^1.5),NA())</f>
        <v>#N/A</v>
      </c>
      <c r="G36" s="90" t="e">
        <f t="shared" ref="G36:G67" si="18">IF(SC_STRA,(0.643*E36*SQRT((D*0.5)*0.001))*0.000001/((tnet_STRA*0.001)^1.5),NA())</f>
        <v>#N/A</v>
      </c>
      <c r="H36" s="89">
        <f t="shared" ref="H36:H67" si="19">IF(Load_Case=2,(6*FL_EXP*H_Trunnion)/(A36*0.001)^2,NA())</f>
        <v>143432.82562666485</v>
      </c>
      <c r="I36" s="89">
        <f t="shared" ref="I36:I67" si="20">IF(Load_Case=2,(6*FC_EXP*H_STRA)/(A36*t_STRA*0.000001),NA())</f>
        <v>2892561.9834710746</v>
      </c>
      <c r="J36" s="89">
        <f t="shared" ref="J36:J67" si="21">IF(Load_Case=2,FA_EXP*1000/(A36*0.001),NA())</f>
        <v>20661.157024793389</v>
      </c>
      <c r="K36" s="89">
        <f t="shared" ref="K36:K67" si="22">1.5*J36+SQRT((H36^2+(1.5*I36)^2))</f>
        <v>4372204.8538909769</v>
      </c>
      <c r="L36" s="89">
        <f t="shared" ref="L36:L67" si="23">IF(SL_STRA,(1.17*K36*SQRT(0.5*D*0.001))*0.000001/((tnet_STRA*0.001)^1.5),NA())</f>
        <v>2221.7945677868988</v>
      </c>
      <c r="M36" s="90">
        <f t="shared" ref="M36:M67" si="24">IF(SC_STRA,(0.643*K36*SQRT((D*0.5)*0.001))*0.000001/((tnet_STRA*0.001)^1.5),NA())</f>
        <v>1221.037527424766</v>
      </c>
    </row>
    <row r="37" spans="1:13" x14ac:dyDescent="0.25">
      <c r="A37" s="32">
        <f t="shared" ref="A37:A68" si="25">IF((A36+L_STRA_Increment)&gt;Max_STRA_L,NA(),A36+L_STRA_Increment)</f>
        <v>243</v>
      </c>
      <c r="B37" s="89" t="e">
        <f t="shared" si="13"/>
        <v>#N/A</v>
      </c>
      <c r="C37" s="89" t="e">
        <f t="shared" si="14"/>
        <v>#N/A</v>
      </c>
      <c r="D37" s="89" t="e">
        <f t="shared" si="15"/>
        <v>#N/A</v>
      </c>
      <c r="E37" s="89" t="e">
        <f t="shared" si="16"/>
        <v>#N/A</v>
      </c>
      <c r="F37" s="89" t="e">
        <f t="shared" si="17"/>
        <v>#N/A</v>
      </c>
      <c r="G37" s="90" t="e">
        <f t="shared" si="18"/>
        <v>#N/A</v>
      </c>
      <c r="H37" s="89">
        <f t="shared" si="19"/>
        <v>142254.73759081442</v>
      </c>
      <c r="I37" s="89">
        <f t="shared" si="20"/>
        <v>2880658.4362139921</v>
      </c>
      <c r="J37" s="89">
        <f t="shared" si="21"/>
        <v>20576.1316872428</v>
      </c>
      <c r="K37" s="89">
        <f t="shared" si="22"/>
        <v>4354192.8594719646</v>
      </c>
      <c r="L37" s="89">
        <f t="shared" si="23"/>
        <v>2212.6415311171841</v>
      </c>
      <c r="M37" s="90">
        <f t="shared" si="24"/>
        <v>1216.0072688105549</v>
      </c>
    </row>
    <row r="38" spans="1:13" x14ac:dyDescent="0.25">
      <c r="A38" s="32">
        <f t="shared" si="25"/>
        <v>244</v>
      </c>
      <c r="B38" s="89" t="e">
        <f t="shared" si="13"/>
        <v>#N/A</v>
      </c>
      <c r="C38" s="89" t="e">
        <f t="shared" si="14"/>
        <v>#N/A</v>
      </c>
      <c r="D38" s="89" t="e">
        <f t="shared" si="15"/>
        <v>#N/A</v>
      </c>
      <c r="E38" s="89" t="e">
        <f t="shared" si="16"/>
        <v>#N/A</v>
      </c>
      <c r="F38" s="89" t="e">
        <f t="shared" si="17"/>
        <v>#N/A</v>
      </c>
      <c r="G38" s="90" t="e">
        <f t="shared" si="18"/>
        <v>#N/A</v>
      </c>
      <c r="H38" s="89">
        <f t="shared" si="19"/>
        <v>141091.10454178986</v>
      </c>
      <c r="I38" s="89">
        <f t="shared" si="20"/>
        <v>2868852.4590163934</v>
      </c>
      <c r="J38" s="89">
        <f t="shared" si="21"/>
        <v>20491.803278688523</v>
      </c>
      <c r="K38" s="89">
        <f t="shared" si="22"/>
        <v>4336328.7411046717</v>
      </c>
      <c r="L38" s="89">
        <f t="shared" si="23"/>
        <v>2203.5636396475215</v>
      </c>
      <c r="M38" s="90">
        <f t="shared" si="24"/>
        <v>1211.0183079430396</v>
      </c>
    </row>
    <row r="39" spans="1:13" x14ac:dyDescent="0.25">
      <c r="A39" s="32">
        <f t="shared" si="25"/>
        <v>245</v>
      </c>
      <c r="B39" s="89" t="e">
        <f t="shared" si="13"/>
        <v>#N/A</v>
      </c>
      <c r="C39" s="89" t="e">
        <f t="shared" si="14"/>
        <v>#N/A</v>
      </c>
      <c r="D39" s="89" t="e">
        <f t="shared" si="15"/>
        <v>#N/A</v>
      </c>
      <c r="E39" s="89" t="e">
        <f t="shared" si="16"/>
        <v>#N/A</v>
      </c>
      <c r="F39" s="89" t="e">
        <f t="shared" si="17"/>
        <v>#N/A</v>
      </c>
      <c r="G39" s="90" t="e">
        <f t="shared" si="18"/>
        <v>#N/A</v>
      </c>
      <c r="H39" s="89">
        <f t="shared" si="19"/>
        <v>139941.69096209915</v>
      </c>
      <c r="I39" s="89">
        <f t="shared" si="20"/>
        <v>2857142.8571428573</v>
      </c>
      <c r="J39" s="89">
        <f t="shared" si="21"/>
        <v>20408.163265306124</v>
      </c>
      <c r="K39" s="89">
        <f t="shared" si="22"/>
        <v>4318610.6842219336</v>
      </c>
      <c r="L39" s="89">
        <f t="shared" si="23"/>
        <v>2194.5599712812568</v>
      </c>
      <c r="M39" s="90">
        <f t="shared" si="24"/>
        <v>1206.0701380631181</v>
      </c>
    </row>
    <row r="40" spans="1:13" x14ac:dyDescent="0.25">
      <c r="A40" s="32">
        <f t="shared" si="25"/>
        <v>246</v>
      </c>
      <c r="B40" s="89" t="e">
        <f t="shared" si="13"/>
        <v>#N/A</v>
      </c>
      <c r="C40" s="89" t="e">
        <f t="shared" si="14"/>
        <v>#N/A</v>
      </c>
      <c r="D40" s="89" t="e">
        <f t="shared" si="15"/>
        <v>#N/A</v>
      </c>
      <c r="E40" s="89" t="e">
        <f t="shared" si="16"/>
        <v>#N/A</v>
      </c>
      <c r="F40" s="89" t="e">
        <f t="shared" si="17"/>
        <v>#N/A</v>
      </c>
      <c r="G40" s="90" t="e">
        <f t="shared" si="18"/>
        <v>#N/A</v>
      </c>
      <c r="H40" s="89">
        <f t="shared" si="19"/>
        <v>138806.2661114416</v>
      </c>
      <c r="I40" s="89">
        <f t="shared" si="20"/>
        <v>2845528.4552845531</v>
      </c>
      <c r="J40" s="89">
        <f t="shared" si="21"/>
        <v>20325.203252032519</v>
      </c>
      <c r="K40" s="89">
        <f t="shared" si="22"/>
        <v>4301036.9038392715</v>
      </c>
      <c r="L40" s="89">
        <f t="shared" si="23"/>
        <v>2185.6296189545742</v>
      </c>
      <c r="M40" s="90">
        <f t="shared" si="24"/>
        <v>1201.1622606733258</v>
      </c>
    </row>
    <row r="41" spans="1:13" x14ac:dyDescent="0.25">
      <c r="A41" s="32">
        <f t="shared" si="25"/>
        <v>247</v>
      </c>
      <c r="B41" s="89" t="e">
        <f t="shared" si="13"/>
        <v>#N/A</v>
      </c>
      <c r="C41" s="89" t="e">
        <f t="shared" si="14"/>
        <v>#N/A</v>
      </c>
      <c r="D41" s="89" t="e">
        <f t="shared" si="15"/>
        <v>#N/A</v>
      </c>
      <c r="E41" s="89" t="e">
        <f t="shared" si="16"/>
        <v>#N/A</v>
      </c>
      <c r="F41" s="89" t="e">
        <f t="shared" si="17"/>
        <v>#N/A</v>
      </c>
      <c r="G41" s="90" t="e">
        <f t="shared" si="18"/>
        <v>#N/A</v>
      </c>
      <c r="H41" s="89">
        <f t="shared" si="19"/>
        <v>137684.60391089838</v>
      </c>
      <c r="I41" s="89">
        <f t="shared" si="20"/>
        <v>2834008.097165992</v>
      </c>
      <c r="J41" s="89">
        <f t="shared" si="21"/>
        <v>20242.914979757086</v>
      </c>
      <c r="K41" s="89">
        <f t="shared" si="22"/>
        <v>4283605.6439541858</v>
      </c>
      <c r="L41" s="89">
        <f t="shared" si="23"/>
        <v>2176.7716903312394</v>
      </c>
      <c r="M41" s="90">
        <f t="shared" si="24"/>
        <v>1196.2941853700743</v>
      </c>
    </row>
    <row r="42" spans="1:13" x14ac:dyDescent="0.25">
      <c r="A42" s="32">
        <f t="shared" si="25"/>
        <v>248</v>
      </c>
      <c r="B42" s="89" t="e">
        <f t="shared" si="13"/>
        <v>#N/A</v>
      </c>
      <c r="C42" s="89" t="e">
        <f t="shared" si="14"/>
        <v>#N/A</v>
      </c>
      <c r="D42" s="89" t="e">
        <f t="shared" si="15"/>
        <v>#N/A</v>
      </c>
      <c r="E42" s="89" t="e">
        <f t="shared" si="16"/>
        <v>#N/A</v>
      </c>
      <c r="F42" s="89" t="e">
        <f t="shared" si="17"/>
        <v>#N/A</v>
      </c>
      <c r="G42" s="90" t="e">
        <f t="shared" si="18"/>
        <v>#N/A</v>
      </c>
      <c r="H42" s="89">
        <f t="shared" si="19"/>
        <v>136576.48283038504</v>
      </c>
      <c r="I42" s="89">
        <f t="shared" si="20"/>
        <v>2822580.6451612902</v>
      </c>
      <c r="J42" s="89">
        <f t="shared" si="21"/>
        <v>20161.290322580644</v>
      </c>
      <c r="K42" s="89">
        <f t="shared" si="22"/>
        <v>4266315.1769600324</v>
      </c>
      <c r="L42" s="89">
        <f t="shared" si="23"/>
        <v>2167.9853075047531</v>
      </c>
      <c r="M42" s="90">
        <f t="shared" si="24"/>
        <v>1191.4654296799624</v>
      </c>
    </row>
    <row r="43" spans="1:13" x14ac:dyDescent="0.25">
      <c r="A43" s="32">
        <f t="shared" si="25"/>
        <v>249</v>
      </c>
      <c r="B43" s="89" t="e">
        <f t="shared" si="13"/>
        <v>#N/A</v>
      </c>
      <c r="C43" s="89" t="e">
        <f t="shared" si="14"/>
        <v>#N/A</v>
      </c>
      <c r="D43" s="89" t="e">
        <f t="shared" si="15"/>
        <v>#N/A</v>
      </c>
      <c r="E43" s="89" t="e">
        <f t="shared" si="16"/>
        <v>#N/A</v>
      </c>
      <c r="F43" s="89" t="e">
        <f t="shared" si="17"/>
        <v>#N/A</v>
      </c>
      <c r="G43" s="90" t="e">
        <f t="shared" si="18"/>
        <v>#N/A</v>
      </c>
      <c r="H43" s="89">
        <f t="shared" si="19"/>
        <v>135481.68577926164</v>
      </c>
      <c r="I43" s="89">
        <f t="shared" si="20"/>
        <v>2811244.979919679</v>
      </c>
      <c r="J43" s="89">
        <f t="shared" si="21"/>
        <v>20080.321285140562</v>
      </c>
      <c r="K43" s="89">
        <f t="shared" si="22"/>
        <v>4249163.8030740675</v>
      </c>
      <c r="L43" s="89">
        <f t="shared" si="23"/>
        <v>2159.2696067077036</v>
      </c>
      <c r="M43" s="90">
        <f t="shared" si="24"/>
        <v>1186.675518900046</v>
      </c>
    </row>
    <row r="44" spans="1:13" x14ac:dyDescent="0.25">
      <c r="A44" s="32">
        <f t="shared" si="25"/>
        <v>250</v>
      </c>
      <c r="B44" s="89" t="e">
        <f t="shared" si="13"/>
        <v>#N/A</v>
      </c>
      <c r="C44" s="89" t="e">
        <f t="shared" si="14"/>
        <v>#N/A</v>
      </c>
      <c r="D44" s="89" t="e">
        <f t="shared" si="15"/>
        <v>#N/A</v>
      </c>
      <c r="E44" s="89" t="e">
        <f t="shared" si="16"/>
        <v>#N/A</v>
      </c>
      <c r="F44" s="89" t="e">
        <f t="shared" si="17"/>
        <v>#N/A</v>
      </c>
      <c r="G44" s="90" t="e">
        <f t="shared" si="18"/>
        <v>#N/A</v>
      </c>
      <c r="H44" s="89">
        <f t="shared" si="19"/>
        <v>134400</v>
      </c>
      <c r="I44" s="89">
        <f t="shared" si="20"/>
        <v>2800000</v>
      </c>
      <c r="J44" s="89">
        <f t="shared" si="21"/>
        <v>20000</v>
      </c>
      <c r="K44" s="89">
        <f t="shared" si="22"/>
        <v>4232149.8497792771</v>
      </c>
      <c r="L44" s="89">
        <f t="shared" si="23"/>
        <v>2150.6237380281282</v>
      </c>
      <c r="M44" s="90">
        <f t="shared" si="24"/>
        <v>1181.9239859419545</v>
      </c>
    </row>
    <row r="45" spans="1:13" x14ac:dyDescent="0.25">
      <c r="A45" s="32">
        <f t="shared" si="25"/>
        <v>251</v>
      </c>
      <c r="B45" s="89" t="e">
        <f t="shared" si="13"/>
        <v>#N/A</v>
      </c>
      <c r="C45" s="89" t="e">
        <f t="shared" si="14"/>
        <v>#N/A</v>
      </c>
      <c r="D45" s="89" t="e">
        <f t="shared" si="15"/>
        <v>#N/A</v>
      </c>
      <c r="E45" s="89" t="e">
        <f t="shared" si="16"/>
        <v>#N/A</v>
      </c>
      <c r="F45" s="89" t="e">
        <f t="shared" si="17"/>
        <v>#N/A</v>
      </c>
      <c r="G45" s="90" t="e">
        <f t="shared" si="18"/>
        <v>#N/A</v>
      </c>
      <c r="H45" s="89">
        <f t="shared" si="19"/>
        <v>133331.21696481007</v>
      </c>
      <c r="I45" s="89">
        <f t="shared" si="20"/>
        <v>2788844.6215139441</v>
      </c>
      <c r="J45" s="89">
        <f t="shared" si="21"/>
        <v>19920.318725099602</v>
      </c>
      <c r="K45" s="89">
        <f t="shared" si="22"/>
        <v>4215271.6712795878</v>
      </c>
      <c r="L45" s="89">
        <f t="shared" si="23"/>
        <v>2142.0468651326651</v>
      </c>
      <c r="M45" s="90">
        <f t="shared" si="24"/>
        <v>1177.210371179747</v>
      </c>
    </row>
    <row r="46" spans="1:13" x14ac:dyDescent="0.25">
      <c r="A46" s="32">
        <f t="shared" si="25"/>
        <v>252</v>
      </c>
      <c r="B46" s="89" t="e">
        <f t="shared" si="13"/>
        <v>#N/A</v>
      </c>
      <c r="C46" s="89" t="e">
        <f t="shared" si="14"/>
        <v>#N/A</v>
      </c>
      <c r="D46" s="89" t="e">
        <f t="shared" si="15"/>
        <v>#N/A</v>
      </c>
      <c r="E46" s="89" t="e">
        <f t="shared" si="16"/>
        <v>#N/A</v>
      </c>
      <c r="F46" s="89" t="e">
        <f t="shared" si="17"/>
        <v>#N/A</v>
      </c>
      <c r="G46" s="90" t="e">
        <f t="shared" si="18"/>
        <v>#N/A</v>
      </c>
      <c r="H46" s="89">
        <f t="shared" si="19"/>
        <v>132275.13227513226</v>
      </c>
      <c r="I46" s="89">
        <f t="shared" si="20"/>
        <v>2777777.777777778</v>
      </c>
      <c r="J46" s="89">
        <f t="shared" si="21"/>
        <v>19841.269841269841</v>
      </c>
      <c r="K46" s="89">
        <f t="shared" si="22"/>
        <v>4198527.6479681022</v>
      </c>
      <c r="L46" s="89">
        <f t="shared" si="23"/>
        <v>2133.5381649963374</v>
      </c>
      <c r="M46" s="90">
        <f t="shared" si="24"/>
        <v>1172.5342223014061</v>
      </c>
    </row>
    <row r="47" spans="1:13" x14ac:dyDescent="0.25">
      <c r="A47" s="32">
        <f t="shared" si="25"/>
        <v>253</v>
      </c>
      <c r="B47" s="89" t="e">
        <f t="shared" si="13"/>
        <v>#N/A</v>
      </c>
      <c r="C47" s="89" t="e">
        <f t="shared" si="14"/>
        <v>#N/A</v>
      </c>
      <c r="D47" s="89" t="e">
        <f t="shared" si="15"/>
        <v>#N/A</v>
      </c>
      <c r="E47" s="89" t="e">
        <f t="shared" si="16"/>
        <v>#N/A</v>
      </c>
      <c r="F47" s="89" t="e">
        <f t="shared" si="17"/>
        <v>#N/A</v>
      </c>
      <c r="G47" s="90" t="e">
        <f t="shared" si="18"/>
        <v>#N/A</v>
      </c>
      <c r="H47" s="89">
        <f t="shared" si="19"/>
        <v>131231.54556390509</v>
      </c>
      <c r="I47" s="89">
        <f t="shared" si="20"/>
        <v>2766798.418972332</v>
      </c>
      <c r="J47" s="89">
        <f t="shared" si="21"/>
        <v>19762.845849802372</v>
      </c>
      <c r="K47" s="89">
        <f t="shared" si="22"/>
        <v>4181916.1859079772</v>
      </c>
      <c r="L47" s="89">
        <f t="shared" si="23"/>
        <v>2125.096827638748</v>
      </c>
      <c r="M47" s="90">
        <f t="shared" si="24"/>
        <v>1167.8950941638593</v>
      </c>
    </row>
    <row r="48" spans="1:13" x14ac:dyDescent="0.25">
      <c r="A48" s="32">
        <f t="shared" si="25"/>
        <v>254</v>
      </c>
      <c r="B48" s="89" t="e">
        <f t="shared" si="13"/>
        <v>#N/A</v>
      </c>
      <c r="C48" s="89" t="e">
        <f t="shared" si="14"/>
        <v>#N/A</v>
      </c>
      <c r="D48" s="89" t="e">
        <f t="shared" si="15"/>
        <v>#N/A</v>
      </c>
      <c r="E48" s="89" t="e">
        <f t="shared" si="16"/>
        <v>#N/A</v>
      </c>
      <c r="F48" s="89" t="e">
        <f t="shared" si="17"/>
        <v>#N/A</v>
      </c>
      <c r="G48" s="90" t="e">
        <f t="shared" si="18"/>
        <v>#N/A</v>
      </c>
      <c r="H48" s="89">
        <f t="shared" si="19"/>
        <v>130200.2604005208</v>
      </c>
      <c r="I48" s="89">
        <f t="shared" si="20"/>
        <v>2755905.5118110236</v>
      </c>
      <c r="J48" s="89">
        <f t="shared" si="21"/>
        <v>19685.039370078739</v>
      </c>
      <c r="K48" s="89">
        <f t="shared" si="22"/>
        <v>4165435.7163256248</v>
      </c>
      <c r="L48" s="89">
        <f t="shared" si="23"/>
        <v>2116.7220558665472</v>
      </c>
      <c r="M48" s="90">
        <f t="shared" si="24"/>
        <v>1163.2925486514441</v>
      </c>
    </row>
    <row r="49" spans="1:13" x14ac:dyDescent="0.25">
      <c r="A49" s="32">
        <f t="shared" si="25"/>
        <v>255</v>
      </c>
      <c r="B49" s="89" t="e">
        <f t="shared" si="13"/>
        <v>#N/A</v>
      </c>
      <c r="C49" s="89" t="e">
        <f t="shared" si="14"/>
        <v>#N/A</v>
      </c>
      <c r="D49" s="89" t="e">
        <f t="shared" si="15"/>
        <v>#N/A</v>
      </c>
      <c r="E49" s="89" t="e">
        <f t="shared" si="16"/>
        <v>#N/A</v>
      </c>
      <c r="F49" s="89" t="e">
        <f t="shared" si="17"/>
        <v>#N/A</v>
      </c>
      <c r="G49" s="90" t="e">
        <f t="shared" si="18"/>
        <v>#N/A</v>
      </c>
      <c r="H49" s="89">
        <f t="shared" si="19"/>
        <v>129181.08419838524</v>
      </c>
      <c r="I49" s="89">
        <f t="shared" si="20"/>
        <v>2745098.0392156863</v>
      </c>
      <c r="J49" s="89">
        <f t="shared" si="21"/>
        <v>19607.843137254902</v>
      </c>
      <c r="K49" s="89">
        <f t="shared" si="22"/>
        <v>4149084.6951158601</v>
      </c>
      <c r="L49" s="89">
        <f t="shared" si="23"/>
        <v>2108.4130650219631</v>
      </c>
      <c r="M49" s="90">
        <f t="shared" si="24"/>
        <v>1158.7261545377114</v>
      </c>
    </row>
    <row r="50" spans="1:13" x14ac:dyDescent="0.25">
      <c r="A50" s="32">
        <f t="shared" si="25"/>
        <v>256</v>
      </c>
      <c r="B50" s="89" t="e">
        <f t="shared" si="13"/>
        <v>#N/A</v>
      </c>
      <c r="C50" s="89" t="e">
        <f t="shared" si="14"/>
        <v>#N/A</v>
      </c>
      <c r="D50" s="89" t="e">
        <f t="shared" si="15"/>
        <v>#N/A</v>
      </c>
      <c r="E50" s="89" t="e">
        <f t="shared" si="16"/>
        <v>#N/A</v>
      </c>
      <c r="F50" s="89" t="e">
        <f t="shared" si="17"/>
        <v>#N/A</v>
      </c>
      <c r="G50" s="90" t="e">
        <f t="shared" si="18"/>
        <v>#N/A</v>
      </c>
      <c r="H50" s="89">
        <f t="shared" si="19"/>
        <v>128173.828125</v>
      </c>
      <c r="I50" s="89">
        <f t="shared" si="20"/>
        <v>2734375</v>
      </c>
      <c r="J50" s="89">
        <f t="shared" si="21"/>
        <v>19531.25</v>
      </c>
      <c r="K50" s="89">
        <f t="shared" si="22"/>
        <v>4132861.6023586984</v>
      </c>
      <c r="L50" s="89">
        <f t="shared" si="23"/>
        <v>2100.1690827372613</v>
      </c>
      <c r="M50" s="90">
        <f t="shared" si="24"/>
        <v>1154.1954873504778</v>
      </c>
    </row>
    <row r="51" spans="1:13" x14ac:dyDescent="0.25">
      <c r="A51" s="32">
        <f t="shared" si="25"/>
        <v>257</v>
      </c>
      <c r="B51" s="89" t="e">
        <f t="shared" si="13"/>
        <v>#N/A</v>
      </c>
      <c r="C51" s="89" t="e">
        <f t="shared" si="14"/>
        <v>#N/A</v>
      </c>
      <c r="D51" s="89" t="e">
        <f t="shared" si="15"/>
        <v>#N/A</v>
      </c>
      <c r="E51" s="89" t="e">
        <f t="shared" si="16"/>
        <v>#N/A</v>
      </c>
      <c r="F51" s="89" t="e">
        <f t="shared" si="17"/>
        <v>#N/A</v>
      </c>
      <c r="G51" s="90" t="e">
        <f t="shared" si="18"/>
        <v>#N/A</v>
      </c>
      <c r="H51" s="89">
        <f t="shared" si="19"/>
        <v>127178.30701448926</v>
      </c>
      <c r="I51" s="89">
        <f t="shared" si="20"/>
        <v>2723735.4085603114</v>
      </c>
      <c r="J51" s="89">
        <f t="shared" si="21"/>
        <v>19455.252918287937</v>
      </c>
      <c r="K51" s="89">
        <f t="shared" si="22"/>
        <v>4116764.9418474669</v>
      </c>
      <c r="L51" s="89">
        <f t="shared" si="23"/>
        <v>2091.9893486949422</v>
      </c>
      <c r="M51" s="90">
        <f t="shared" si="24"/>
        <v>1149.700129240041</v>
      </c>
    </row>
    <row r="52" spans="1:13" x14ac:dyDescent="0.25">
      <c r="A52" s="32">
        <f t="shared" si="25"/>
        <v>258</v>
      </c>
      <c r="B52" s="89" t="e">
        <f t="shared" si="13"/>
        <v>#N/A</v>
      </c>
      <c r="C52" s="89" t="e">
        <f t="shared" si="14"/>
        <v>#N/A</v>
      </c>
      <c r="D52" s="89" t="e">
        <f t="shared" si="15"/>
        <v>#N/A</v>
      </c>
      <c r="E52" s="89" t="e">
        <f t="shared" si="16"/>
        <v>#N/A</v>
      </c>
      <c r="F52" s="89" t="e">
        <f t="shared" si="17"/>
        <v>#N/A</v>
      </c>
      <c r="G52" s="90" t="e">
        <f t="shared" si="18"/>
        <v>#N/A</v>
      </c>
      <c r="H52" s="89">
        <f t="shared" si="19"/>
        <v>126194.33928249504</v>
      </c>
      <c r="I52" s="89">
        <f t="shared" si="20"/>
        <v>2713178.2945736437</v>
      </c>
      <c r="J52" s="89">
        <f t="shared" si="21"/>
        <v>19379.844961240309</v>
      </c>
      <c r="K52" s="89">
        <f t="shared" si="22"/>
        <v>4100793.2406279291</v>
      </c>
      <c r="L52" s="89">
        <f t="shared" si="23"/>
        <v>2083.8731143935456</v>
      </c>
      <c r="M52" s="90">
        <f t="shared" si="24"/>
        <v>1145.23966885047</v>
      </c>
    </row>
    <row r="53" spans="1:13" x14ac:dyDescent="0.25">
      <c r="A53" s="32">
        <f t="shared" si="25"/>
        <v>259</v>
      </c>
      <c r="B53" s="89" t="e">
        <f t="shared" si="13"/>
        <v>#N/A</v>
      </c>
      <c r="C53" s="89" t="e">
        <f t="shared" si="14"/>
        <v>#N/A</v>
      </c>
      <c r="D53" s="89" t="e">
        <f t="shared" si="15"/>
        <v>#N/A</v>
      </c>
      <c r="E53" s="89" t="e">
        <f t="shared" si="16"/>
        <v>#N/A</v>
      </c>
      <c r="F53" s="89" t="e">
        <f t="shared" si="17"/>
        <v>#N/A</v>
      </c>
      <c r="G53" s="90" t="e">
        <f t="shared" si="18"/>
        <v>#N/A</v>
      </c>
      <c r="H53" s="89">
        <f t="shared" si="19"/>
        <v>125221.74684336846</v>
      </c>
      <c r="I53" s="89">
        <f t="shared" si="20"/>
        <v>2702702.702702703</v>
      </c>
      <c r="J53" s="89">
        <f t="shared" si="21"/>
        <v>19305.019305019305</v>
      </c>
      <c r="K53" s="89">
        <f t="shared" si="22"/>
        <v>4084945.0485481177</v>
      </c>
      <c r="L53" s="89">
        <f t="shared" si="23"/>
        <v>2075.8196429188879</v>
      </c>
      <c r="M53" s="90">
        <f t="shared" si="24"/>
        <v>1140.8137011938848</v>
      </c>
    </row>
    <row r="54" spans="1:13" x14ac:dyDescent="0.25">
      <c r="A54" s="32">
        <f t="shared" si="25"/>
        <v>260</v>
      </c>
      <c r="B54" s="89" t="e">
        <f t="shared" si="13"/>
        <v>#N/A</v>
      </c>
      <c r="C54" s="89" t="e">
        <f t="shared" si="14"/>
        <v>#N/A</v>
      </c>
      <c r="D54" s="89" t="e">
        <f t="shared" si="15"/>
        <v>#N/A</v>
      </c>
      <c r="E54" s="89" t="e">
        <f t="shared" si="16"/>
        <v>#N/A</v>
      </c>
      <c r="F54" s="89" t="e">
        <f t="shared" si="17"/>
        <v>#N/A</v>
      </c>
      <c r="G54" s="90" t="e">
        <f t="shared" si="18"/>
        <v>#N/A</v>
      </c>
      <c r="H54" s="89">
        <f t="shared" si="19"/>
        <v>124260.35502958579</v>
      </c>
      <c r="I54" s="89">
        <f t="shared" si="20"/>
        <v>2692307.6923076925</v>
      </c>
      <c r="J54" s="89">
        <f t="shared" si="21"/>
        <v>19230.76923076923</v>
      </c>
      <c r="K54" s="89">
        <f t="shared" si="22"/>
        <v>4069218.9378185957</v>
      </c>
      <c r="L54" s="89">
        <f t="shared" si="23"/>
        <v>2067.8282087206089</v>
      </c>
      <c r="M54" s="90">
        <f t="shared" si="24"/>
        <v>1136.421827527651</v>
      </c>
    </row>
    <row r="55" spans="1:13" x14ac:dyDescent="0.25">
      <c r="A55" s="32">
        <f t="shared" si="25"/>
        <v>261</v>
      </c>
      <c r="B55" s="89" t="e">
        <f t="shared" si="13"/>
        <v>#N/A</v>
      </c>
      <c r="C55" s="89" t="e">
        <f t="shared" si="14"/>
        <v>#N/A</v>
      </c>
      <c r="D55" s="89" t="e">
        <f t="shared" si="15"/>
        <v>#N/A</v>
      </c>
      <c r="E55" s="89" t="e">
        <f t="shared" si="16"/>
        <v>#N/A</v>
      </c>
      <c r="F55" s="89" t="e">
        <f t="shared" si="17"/>
        <v>#N/A</v>
      </c>
      <c r="G55" s="90" t="e">
        <f t="shared" si="18"/>
        <v>#N/A</v>
      </c>
      <c r="H55" s="89">
        <f t="shared" si="19"/>
        <v>123309.99251332188</v>
      </c>
      <c r="I55" s="89">
        <f t="shared" si="20"/>
        <v>2681992.3371647513</v>
      </c>
      <c r="J55" s="89">
        <f t="shared" si="21"/>
        <v>19157.088122605364</v>
      </c>
      <c r="K55" s="89">
        <f t="shared" si="22"/>
        <v>4053613.5025828513</v>
      </c>
      <c r="L55" s="89">
        <f t="shared" si="23"/>
        <v>2059.8980973938556</v>
      </c>
      <c r="M55" s="90">
        <f t="shared" si="24"/>
        <v>1132.0636552344013</v>
      </c>
    </row>
    <row r="56" spans="1:13" x14ac:dyDescent="0.25">
      <c r="A56" s="32">
        <f t="shared" si="25"/>
        <v>262</v>
      </c>
      <c r="B56" s="89" t="e">
        <f t="shared" si="13"/>
        <v>#N/A</v>
      </c>
      <c r="C56" s="89" t="e">
        <f t="shared" si="14"/>
        <v>#N/A</v>
      </c>
      <c r="D56" s="89" t="e">
        <f t="shared" si="15"/>
        <v>#N/A</v>
      </c>
      <c r="E56" s="89" t="e">
        <f t="shared" si="16"/>
        <v>#N/A</v>
      </c>
      <c r="F56" s="89" t="e">
        <f t="shared" si="17"/>
        <v>#N/A</v>
      </c>
      <c r="G56" s="90" t="e">
        <f t="shared" si="18"/>
        <v>#N/A</v>
      </c>
      <c r="H56" s="89">
        <f t="shared" si="19"/>
        <v>122370.49123011477</v>
      </c>
      <c r="I56" s="89">
        <f t="shared" si="20"/>
        <v>2671755.7251908402</v>
      </c>
      <c r="J56" s="89">
        <f t="shared" si="21"/>
        <v>19083.969465648854</v>
      </c>
      <c r="K56" s="89">
        <f t="shared" si="22"/>
        <v>4038127.3584975749</v>
      </c>
      <c r="L56" s="89">
        <f t="shared" si="23"/>
        <v>2052.0286054659982</v>
      </c>
      <c r="M56" s="90">
        <f t="shared" si="24"/>
        <v>1127.7387977048181</v>
      </c>
    </row>
    <row r="57" spans="1:13" x14ac:dyDescent="0.25">
      <c r="A57" s="32">
        <f t="shared" si="25"/>
        <v>263</v>
      </c>
      <c r="B57" s="89" t="e">
        <f t="shared" si="13"/>
        <v>#N/A</v>
      </c>
      <c r="C57" s="89" t="e">
        <f t="shared" si="14"/>
        <v>#N/A</v>
      </c>
      <c r="D57" s="89" t="e">
        <f t="shared" si="15"/>
        <v>#N/A</v>
      </c>
      <c r="E57" s="89" t="e">
        <f t="shared" si="16"/>
        <v>#N/A</v>
      </c>
      <c r="F57" s="89" t="e">
        <f t="shared" si="17"/>
        <v>#N/A</v>
      </c>
      <c r="G57" s="90" t="e">
        <f t="shared" si="18"/>
        <v>#N/A</v>
      </c>
      <c r="H57" s="89">
        <f t="shared" si="19"/>
        <v>121441.68630455839</v>
      </c>
      <c r="I57" s="89">
        <f t="shared" si="20"/>
        <v>2661596.9581749048</v>
      </c>
      <c r="J57" s="89">
        <f t="shared" si="21"/>
        <v>19011.406844106463</v>
      </c>
      <c r="K57" s="89">
        <f t="shared" si="22"/>
        <v>4022759.1423225277</v>
      </c>
      <c r="L57" s="89">
        <f t="shared" si="23"/>
        <v>2044.2190401882171</v>
      </c>
      <c r="M57" s="90">
        <f t="shared" si="24"/>
        <v>1123.446874223097</v>
      </c>
    </row>
    <row r="58" spans="1:13" x14ac:dyDescent="0.25">
      <c r="A58" s="32">
        <f t="shared" si="25"/>
        <v>264</v>
      </c>
      <c r="B58" s="89" t="e">
        <f t="shared" si="13"/>
        <v>#N/A</v>
      </c>
      <c r="C58" s="89" t="e">
        <f t="shared" si="14"/>
        <v>#N/A</v>
      </c>
      <c r="D58" s="89" t="e">
        <f t="shared" si="15"/>
        <v>#N/A</v>
      </c>
      <c r="E58" s="89" t="e">
        <f t="shared" si="16"/>
        <v>#N/A</v>
      </c>
      <c r="F58" s="89" t="e">
        <f t="shared" si="17"/>
        <v>#N/A</v>
      </c>
      <c r="G58" s="90" t="e">
        <f t="shared" si="18"/>
        <v>#N/A</v>
      </c>
      <c r="H58" s="89">
        <f t="shared" si="19"/>
        <v>120523.41597796141</v>
      </c>
      <c r="I58" s="89">
        <f t="shared" si="20"/>
        <v>2651515.1515151518</v>
      </c>
      <c r="J58" s="89">
        <f t="shared" si="21"/>
        <v>18939.39393939394</v>
      </c>
      <c r="K58" s="89">
        <f t="shared" si="22"/>
        <v>4007507.5115197743</v>
      </c>
      <c r="L58" s="89">
        <f t="shared" si="23"/>
        <v>2036.4687193318434</v>
      </c>
      <c r="M58" s="90">
        <f t="shared" si="24"/>
        <v>1119.1875098550217</v>
      </c>
    </row>
    <row r="59" spans="1:13" x14ac:dyDescent="0.25">
      <c r="A59" s="32">
        <f t="shared" si="25"/>
        <v>265</v>
      </c>
      <c r="B59" s="89" t="e">
        <f t="shared" si="13"/>
        <v>#N/A</v>
      </c>
      <c r="C59" s="89" t="e">
        <f t="shared" si="14"/>
        <v>#N/A</v>
      </c>
      <c r="D59" s="89" t="e">
        <f t="shared" si="15"/>
        <v>#N/A</v>
      </c>
      <c r="E59" s="89" t="e">
        <f t="shared" si="16"/>
        <v>#N/A</v>
      </c>
      <c r="F59" s="89" t="e">
        <f t="shared" si="17"/>
        <v>#N/A</v>
      </c>
      <c r="G59" s="90" t="e">
        <f t="shared" si="18"/>
        <v>#N/A</v>
      </c>
      <c r="H59" s="89">
        <f t="shared" si="19"/>
        <v>119615.52153791384</v>
      </c>
      <c r="I59" s="89">
        <f t="shared" si="20"/>
        <v>2641509.4339622646</v>
      </c>
      <c r="J59" s="89">
        <f t="shared" si="21"/>
        <v>18867.924528301886</v>
      </c>
      <c r="K59" s="89">
        <f t="shared" si="22"/>
        <v>3992371.143862009</v>
      </c>
      <c r="L59" s="89">
        <f t="shared" si="23"/>
        <v>2028.7769709893294</v>
      </c>
      <c r="M59" s="90">
        <f t="shared" si="24"/>
        <v>1114.9603353385803</v>
      </c>
    </row>
    <row r="60" spans="1:13" x14ac:dyDescent="0.25">
      <c r="A60" s="32">
        <f t="shared" si="25"/>
        <v>266</v>
      </c>
      <c r="B60" s="89" t="e">
        <f t="shared" si="13"/>
        <v>#N/A</v>
      </c>
      <c r="C60" s="89" t="e">
        <f t="shared" si="14"/>
        <v>#N/A</v>
      </c>
      <c r="D60" s="89" t="e">
        <f t="shared" si="15"/>
        <v>#N/A</v>
      </c>
      <c r="E60" s="89" t="e">
        <f t="shared" si="16"/>
        <v>#N/A</v>
      </c>
      <c r="F60" s="89" t="e">
        <f t="shared" si="17"/>
        <v>#N/A</v>
      </c>
      <c r="G60" s="90" t="e">
        <f t="shared" si="18"/>
        <v>#N/A</v>
      </c>
      <c r="H60" s="89">
        <f t="shared" si="19"/>
        <v>118717.84724970318</v>
      </c>
      <c r="I60" s="89">
        <f t="shared" si="20"/>
        <v>2631578.9473684211</v>
      </c>
      <c r="J60" s="89">
        <f t="shared" si="21"/>
        <v>18796.992481203008</v>
      </c>
      <c r="K60" s="89">
        <f t="shared" si="22"/>
        <v>3977348.7370497487</v>
      </c>
      <c r="L60" s="89">
        <f t="shared" si="23"/>
        <v>2021.1431333797166</v>
      </c>
      <c r="M60" s="90">
        <f t="shared" si="24"/>
        <v>1110.764986977058</v>
      </c>
    </row>
    <row r="61" spans="1:13" x14ac:dyDescent="0.25">
      <c r="A61" s="32">
        <f t="shared" si="25"/>
        <v>267</v>
      </c>
      <c r="B61" s="89" t="e">
        <f t="shared" si="13"/>
        <v>#N/A</v>
      </c>
      <c r="C61" s="89" t="e">
        <f t="shared" si="14"/>
        <v>#N/A</v>
      </c>
      <c r="D61" s="89" t="e">
        <f t="shared" si="15"/>
        <v>#N/A</v>
      </c>
      <c r="E61" s="89" t="e">
        <f t="shared" si="16"/>
        <v>#N/A</v>
      </c>
      <c r="F61" s="89" t="e">
        <f t="shared" si="17"/>
        <v>#N/A</v>
      </c>
      <c r="G61" s="90" t="e">
        <f t="shared" si="18"/>
        <v>#N/A</v>
      </c>
      <c r="H61" s="89">
        <f t="shared" si="19"/>
        <v>117830.24028952573</v>
      </c>
      <c r="I61" s="89">
        <f t="shared" si="20"/>
        <v>2621722.8464419479</v>
      </c>
      <c r="J61" s="89">
        <f t="shared" si="21"/>
        <v>18726.591760299623</v>
      </c>
      <c r="K61" s="89">
        <f t="shared" si="22"/>
        <v>3962439.008337155</v>
      </c>
      <c r="L61" s="89">
        <f t="shared" si="23"/>
        <v>2013.5665546584939</v>
      </c>
      <c r="M61" s="90">
        <f t="shared" si="24"/>
        <v>1106.6011065345399</v>
      </c>
    </row>
    <row r="62" spans="1:13" x14ac:dyDescent="0.25">
      <c r="A62" s="32">
        <f t="shared" si="25"/>
        <v>268</v>
      </c>
      <c r="B62" s="89" t="e">
        <f t="shared" si="13"/>
        <v>#N/A</v>
      </c>
      <c r="C62" s="89" t="e">
        <f t="shared" si="14"/>
        <v>#N/A</v>
      </c>
      <c r="D62" s="89" t="e">
        <f t="shared" si="15"/>
        <v>#N/A</v>
      </c>
      <c r="E62" s="89" t="e">
        <f t="shared" si="16"/>
        <v>#N/A</v>
      </c>
      <c r="F62" s="89" t="e">
        <f t="shared" si="17"/>
        <v>#N/A</v>
      </c>
      <c r="G62" s="90" t="e">
        <f t="shared" si="18"/>
        <v>#N/A</v>
      </c>
      <c r="H62" s="89">
        <f t="shared" si="19"/>
        <v>116952.5506794386</v>
      </c>
      <c r="I62" s="89">
        <f t="shared" si="20"/>
        <v>2611940.2985074627</v>
      </c>
      <c r="J62" s="89">
        <f t="shared" si="21"/>
        <v>18656.716417910447</v>
      </c>
      <c r="K62" s="89">
        <f t="shared" si="22"/>
        <v>3947640.6941662589</v>
      </c>
      <c r="L62" s="89">
        <f t="shared" si="23"/>
        <v>2006.0465927317236</v>
      </c>
      <c r="M62" s="90">
        <f t="shared" si="24"/>
        <v>1102.4683411337592</v>
      </c>
    </row>
    <row r="63" spans="1:13" x14ac:dyDescent="0.25">
      <c r="A63" s="32">
        <f t="shared" si="25"/>
        <v>269</v>
      </c>
      <c r="B63" s="89" t="e">
        <f t="shared" si="13"/>
        <v>#N/A</v>
      </c>
      <c r="C63" s="89" t="e">
        <f t="shared" si="14"/>
        <v>#N/A</v>
      </c>
      <c r="D63" s="89" t="e">
        <f t="shared" si="15"/>
        <v>#N/A</v>
      </c>
      <c r="E63" s="89" t="e">
        <f t="shared" si="16"/>
        <v>#N/A</v>
      </c>
      <c r="F63" s="89" t="e">
        <f t="shared" si="17"/>
        <v>#N/A</v>
      </c>
      <c r="G63" s="90" t="e">
        <f t="shared" si="18"/>
        <v>#N/A</v>
      </c>
      <c r="H63" s="89">
        <f t="shared" si="19"/>
        <v>116084.63122400186</v>
      </c>
      <c r="I63" s="89">
        <f t="shared" si="20"/>
        <v>2602230.4832713753</v>
      </c>
      <c r="J63" s="89">
        <f t="shared" si="21"/>
        <v>18587.360594795537</v>
      </c>
      <c r="K63" s="89">
        <f t="shared" si="22"/>
        <v>3932952.5498093674</v>
      </c>
      <c r="L63" s="89">
        <f t="shared" si="23"/>
        <v>1998.5826150743248</v>
      </c>
      <c r="M63" s="90">
        <f t="shared" si="24"/>
        <v>1098.3663431562318</v>
      </c>
    </row>
    <row r="64" spans="1:13" x14ac:dyDescent="0.25">
      <c r="A64" s="32">
        <f t="shared" si="25"/>
        <v>270</v>
      </c>
      <c r="B64" s="89" t="e">
        <f t="shared" si="13"/>
        <v>#N/A</v>
      </c>
      <c r="C64" s="89" t="e">
        <f t="shared" si="14"/>
        <v>#N/A</v>
      </c>
      <c r="D64" s="89" t="e">
        <f t="shared" si="15"/>
        <v>#N/A</v>
      </c>
      <c r="E64" s="89" t="e">
        <f t="shared" si="16"/>
        <v>#N/A</v>
      </c>
      <c r="F64" s="89" t="e">
        <f t="shared" si="17"/>
        <v>#N/A</v>
      </c>
      <c r="G64" s="90" t="e">
        <f t="shared" si="18"/>
        <v>#N/A</v>
      </c>
      <c r="H64" s="89">
        <f t="shared" si="19"/>
        <v>115226.33744855966</v>
      </c>
      <c r="I64" s="89">
        <f t="shared" si="20"/>
        <v>2592592.5925925928</v>
      </c>
      <c r="J64" s="89">
        <f t="shared" si="21"/>
        <v>18518.518518518518</v>
      </c>
      <c r="K64" s="89">
        <f t="shared" si="22"/>
        <v>3918373.3490194441</v>
      </c>
      <c r="L64" s="89">
        <f t="shared" si="23"/>
        <v>1991.1739985524116</v>
      </c>
      <c r="M64" s="90">
        <f t="shared" si="24"/>
        <v>1094.294770144616</v>
      </c>
    </row>
    <row r="65" spans="1:13" x14ac:dyDescent="0.25">
      <c r="A65" s="32">
        <f t="shared" si="25"/>
        <v>271</v>
      </c>
      <c r="B65" s="89" t="e">
        <f t="shared" si="13"/>
        <v>#N/A</v>
      </c>
      <c r="C65" s="89" t="e">
        <f t="shared" si="14"/>
        <v>#N/A</v>
      </c>
      <c r="D65" s="89" t="e">
        <f t="shared" si="15"/>
        <v>#N/A</v>
      </c>
      <c r="E65" s="89" t="e">
        <f t="shared" si="16"/>
        <v>#N/A</v>
      </c>
      <c r="F65" s="89" t="e">
        <f t="shared" si="17"/>
        <v>#N/A</v>
      </c>
      <c r="G65" s="90" t="e">
        <f t="shared" si="18"/>
        <v>#N/A</v>
      </c>
      <c r="H65" s="89">
        <f t="shared" si="19"/>
        <v>114377.52753911301</v>
      </c>
      <c r="I65" s="89">
        <f t="shared" si="20"/>
        <v>2583025.8302583029</v>
      </c>
      <c r="J65" s="89">
        <f t="shared" si="21"/>
        <v>18450.184501845019</v>
      </c>
      <c r="K65" s="89">
        <f t="shared" si="22"/>
        <v>3903901.8836882487</v>
      </c>
      <c r="L65" s="89">
        <f t="shared" si="23"/>
        <v>1983.8201292495692</v>
      </c>
      <c r="M65" s="90">
        <f t="shared" si="24"/>
        <v>1090.2532847072423</v>
      </c>
    </row>
    <row r="66" spans="1:13" x14ac:dyDescent="0.25">
      <c r="A66" s="32">
        <f t="shared" si="25"/>
        <v>272</v>
      </c>
      <c r="B66" s="89" t="e">
        <f t="shared" si="13"/>
        <v>#N/A</v>
      </c>
      <c r="C66" s="89" t="e">
        <f t="shared" si="14"/>
        <v>#N/A</v>
      </c>
      <c r="D66" s="89" t="e">
        <f t="shared" si="15"/>
        <v>#N/A</v>
      </c>
      <c r="E66" s="89" t="e">
        <f t="shared" si="16"/>
        <v>#N/A</v>
      </c>
      <c r="F66" s="89" t="e">
        <f t="shared" si="17"/>
        <v>#N/A</v>
      </c>
      <c r="G66" s="90" t="e">
        <f t="shared" si="18"/>
        <v>#N/A</v>
      </c>
      <c r="H66" s="89">
        <f t="shared" si="19"/>
        <v>113538.06228373702</v>
      </c>
      <c r="I66" s="89">
        <f t="shared" si="20"/>
        <v>2573529.411764706</v>
      </c>
      <c r="J66" s="89">
        <f t="shared" si="21"/>
        <v>18382.352941176468</v>
      </c>
      <c r="K66" s="89">
        <f t="shared" si="22"/>
        <v>3889536.9635120458</v>
      </c>
      <c r="L66" s="89">
        <f t="shared" si="23"/>
        <v>1976.5204022969822</v>
      </c>
      <c r="M66" s="90">
        <f t="shared" si="24"/>
        <v>1086.2415544247519</v>
      </c>
    </row>
    <row r="67" spans="1:13" x14ac:dyDescent="0.25">
      <c r="A67" s="32">
        <f t="shared" si="25"/>
        <v>273</v>
      </c>
      <c r="B67" s="89" t="e">
        <f t="shared" si="13"/>
        <v>#N/A</v>
      </c>
      <c r="C67" s="89" t="e">
        <f t="shared" si="14"/>
        <v>#N/A</v>
      </c>
      <c r="D67" s="89" t="e">
        <f t="shared" si="15"/>
        <v>#N/A</v>
      </c>
      <c r="E67" s="89" t="e">
        <f t="shared" si="16"/>
        <v>#N/A</v>
      </c>
      <c r="F67" s="89" t="e">
        <f t="shared" si="17"/>
        <v>#N/A</v>
      </c>
      <c r="G67" s="90" t="e">
        <f t="shared" si="18"/>
        <v>#N/A</v>
      </c>
      <c r="H67" s="89">
        <f t="shared" si="19"/>
        <v>112707.8050154973</v>
      </c>
      <c r="I67" s="89">
        <f t="shared" si="20"/>
        <v>2564102.564102564</v>
      </c>
      <c r="J67" s="89">
        <f t="shared" si="21"/>
        <v>18315.018315018315</v>
      </c>
      <c r="K67" s="89">
        <f t="shared" si="22"/>
        <v>3875277.4156646817</v>
      </c>
      <c r="L67" s="89">
        <f t="shared" si="23"/>
        <v>1969.2742217073016</v>
      </c>
      <c r="M67" s="90">
        <f t="shared" si="24"/>
        <v>1082.2592517587996</v>
      </c>
    </row>
    <row r="68" spans="1:13" x14ac:dyDescent="0.25">
      <c r="A68" s="32">
        <f t="shared" si="25"/>
        <v>274</v>
      </c>
      <c r="B68" s="89" t="e">
        <f t="shared" ref="B68:B99" si="26">IF(Load_Case=1,(6*FL_SUS*H_Trunnion)/(A68*0.001)^2,NA())</f>
        <v>#N/A</v>
      </c>
      <c r="C68" s="89" t="e">
        <f t="shared" ref="C68:C99" si="27">IF(Load_Case=1,(6*FC_SUS*H_STRA)/(A68*t_STRA*0.000001),NA())</f>
        <v>#N/A</v>
      </c>
      <c r="D68" s="89" t="e">
        <f t="shared" ref="D68:D99" si="28">IF(Load_Case=1,FA_SUS*1000/(A68*0.001),NA())</f>
        <v>#N/A</v>
      </c>
      <c r="E68" s="89" t="e">
        <f t="shared" ref="E68:E99" si="29">1.5*D68+SQRT((B68^2+(1.5*C68)^2))</f>
        <v>#N/A</v>
      </c>
      <c r="F68" s="89" t="e">
        <f t="shared" ref="F68:F99" si="30">IF(SL_STRA,(1.17*E68*SQRT(0.5*D*0.001))*0.000001/((tnet_STRA*0.001)^1.5),NA())</f>
        <v>#N/A</v>
      </c>
      <c r="G68" s="90" t="e">
        <f t="shared" ref="G68:G99" si="31">IF(SC_STRA,(0.643*E68*SQRT((D*0.5)*0.001))*0.000001/((tnet_STRA*0.001)^1.5),NA())</f>
        <v>#N/A</v>
      </c>
      <c r="H68" s="89">
        <f t="shared" ref="H68:H99" si="32">IF(Load_Case=2,(6*FL_EXP*H_Trunnion)/(A68*0.001)^2,NA())</f>
        <v>111886.6215568224</v>
      </c>
      <c r="I68" s="89">
        <f t="shared" ref="I68:I99" si="33">IF(Load_Case=2,(6*FC_EXP*H_STRA)/(A68*t_STRA*0.000001),NA())</f>
        <v>2554744.5255474453</v>
      </c>
      <c r="J68" s="89">
        <f t="shared" ref="J68:J99" si="34">IF(Load_Case=2,FA_EXP*1000/(A68*0.001),NA())</f>
        <v>18248.175182481751</v>
      </c>
      <c r="K68" s="89">
        <f t="shared" ref="K68:K99" si="35">1.5*J68+SQRT((H68^2+(1.5*I68)^2))</f>
        <v>3861122.0844778391</v>
      </c>
      <c r="L68" s="89">
        <f t="shared" ref="L68:L99" si="36">IF(SL_STRA,(1.17*K68*SQRT(0.5*D*0.001))*0.000001/((tnet_STRA*0.001)^1.5),NA())</f>
        <v>1962.0810002121652</v>
      </c>
      <c r="M68" s="90">
        <f t="shared" ref="M68:M99" si="37">IF(SC_STRA,(0.643*K68*SQRT((D*0.5)*0.001))*0.000001/((tnet_STRA*0.001)^1.5),NA())</f>
        <v>1078.3060539627538</v>
      </c>
    </row>
    <row r="69" spans="1:13" x14ac:dyDescent="0.25">
      <c r="A69" s="32">
        <f t="shared" ref="A69:A100" si="38">IF((A68+L_STRA_Increment)&gt;Max_STRA_L,NA(),A68+L_STRA_Increment)</f>
        <v>275</v>
      </c>
      <c r="B69" s="89" t="e">
        <f t="shared" si="26"/>
        <v>#N/A</v>
      </c>
      <c r="C69" s="89" t="e">
        <f t="shared" si="27"/>
        <v>#N/A</v>
      </c>
      <c r="D69" s="89" t="e">
        <f t="shared" si="28"/>
        <v>#N/A</v>
      </c>
      <c r="E69" s="89" t="e">
        <f t="shared" si="29"/>
        <v>#N/A</v>
      </c>
      <c r="F69" s="89" t="e">
        <f t="shared" si="30"/>
        <v>#N/A</v>
      </c>
      <c r="G69" s="90" t="e">
        <f t="shared" si="31"/>
        <v>#N/A</v>
      </c>
      <c r="H69" s="89">
        <f t="shared" si="32"/>
        <v>111074.38016528924</v>
      </c>
      <c r="I69" s="89">
        <f t="shared" si="33"/>
        <v>2545454.5454545454</v>
      </c>
      <c r="J69" s="89">
        <f t="shared" si="34"/>
        <v>18181.81818181818</v>
      </c>
      <c r="K69" s="89">
        <f t="shared" si="35"/>
        <v>3847069.8311282867</v>
      </c>
      <c r="L69" s="89">
        <f t="shared" si="36"/>
        <v>1954.9401591032638</v>
      </c>
      <c r="M69" s="90">
        <f t="shared" si="37"/>
        <v>1074.3816429943579</v>
      </c>
    </row>
    <row r="70" spans="1:13" x14ac:dyDescent="0.25">
      <c r="A70" s="32">
        <f t="shared" si="38"/>
        <v>276</v>
      </c>
      <c r="B70" s="89" t="e">
        <f t="shared" si="26"/>
        <v>#N/A</v>
      </c>
      <c r="C70" s="89" t="e">
        <f t="shared" si="27"/>
        <v>#N/A</v>
      </c>
      <c r="D70" s="89" t="e">
        <f t="shared" si="28"/>
        <v>#N/A</v>
      </c>
      <c r="E70" s="89" t="e">
        <f t="shared" si="29"/>
        <v>#N/A</v>
      </c>
      <c r="F70" s="89" t="e">
        <f t="shared" si="30"/>
        <v>#N/A</v>
      </c>
      <c r="G70" s="90" t="e">
        <f t="shared" si="31"/>
        <v>#N/A</v>
      </c>
      <c r="H70" s="89">
        <f t="shared" si="32"/>
        <v>110270.95148078134</v>
      </c>
      <c r="I70" s="89">
        <f t="shared" si="33"/>
        <v>2536231.8840579712</v>
      </c>
      <c r="J70" s="89">
        <f t="shared" si="34"/>
        <v>18115.942028985504</v>
      </c>
      <c r="K70" s="89">
        <f t="shared" si="35"/>
        <v>3833119.5333319539</v>
      </c>
      <c r="L70" s="89">
        <f t="shared" si="36"/>
        <v>1947.8511280768885</v>
      </c>
      <c r="M70" s="90">
        <f t="shared" si="37"/>
        <v>1070.4857054302902</v>
      </c>
    </row>
    <row r="71" spans="1:13" x14ac:dyDescent="0.25">
      <c r="A71" s="32">
        <f t="shared" si="38"/>
        <v>277</v>
      </c>
      <c r="B71" s="89" t="e">
        <f t="shared" si="26"/>
        <v>#N/A</v>
      </c>
      <c r="C71" s="89" t="e">
        <f t="shared" si="27"/>
        <v>#N/A</v>
      </c>
      <c r="D71" s="89" t="e">
        <f t="shared" si="28"/>
        <v>#N/A</v>
      </c>
      <c r="E71" s="89" t="e">
        <f t="shared" si="29"/>
        <v>#N/A</v>
      </c>
      <c r="F71" s="89" t="e">
        <f t="shared" si="30"/>
        <v>#N/A</v>
      </c>
      <c r="G71" s="90" t="e">
        <f t="shared" si="31"/>
        <v>#N/A</v>
      </c>
      <c r="H71" s="89">
        <f t="shared" si="32"/>
        <v>109476.20847397983</v>
      </c>
      <c r="I71" s="89">
        <f t="shared" si="33"/>
        <v>2527075.8122743685</v>
      </c>
      <c r="J71" s="89">
        <f t="shared" si="34"/>
        <v>18050.541516245485</v>
      </c>
      <c r="K71" s="89">
        <f t="shared" si="35"/>
        <v>3819270.0850446457</v>
      </c>
      <c r="L71" s="89">
        <f t="shared" si="36"/>
        <v>1940.8133450818391</v>
      </c>
      <c r="M71" s="90">
        <f t="shared" si="37"/>
        <v>1066.6179323825834</v>
      </c>
    </row>
    <row r="72" spans="1:13" x14ac:dyDescent="0.25">
      <c r="A72" s="32">
        <f t="shared" si="38"/>
        <v>278</v>
      </c>
      <c r="B72" s="89" t="e">
        <f t="shared" si="26"/>
        <v>#N/A</v>
      </c>
      <c r="C72" s="89" t="e">
        <f t="shared" si="27"/>
        <v>#N/A</v>
      </c>
      <c r="D72" s="89" t="e">
        <f t="shared" si="28"/>
        <v>#N/A</v>
      </c>
      <c r="E72" s="89" t="e">
        <f t="shared" si="29"/>
        <v>#N/A</v>
      </c>
      <c r="F72" s="89" t="e">
        <f t="shared" si="30"/>
        <v>#N/A</v>
      </c>
      <c r="G72" s="90" t="e">
        <f t="shared" si="31"/>
        <v>#N/A</v>
      </c>
      <c r="H72" s="89">
        <f t="shared" si="32"/>
        <v>108690.02639614925</v>
      </c>
      <c r="I72" s="89">
        <f t="shared" si="33"/>
        <v>2517985.6115107914</v>
      </c>
      <c r="J72" s="89">
        <f t="shared" si="34"/>
        <v>17985.611510791365</v>
      </c>
      <c r="K72" s="89">
        <f t="shared" si="35"/>
        <v>3805520.3961692387</v>
      </c>
      <c r="L72" s="89">
        <f t="shared" si="36"/>
        <v>1933.826256170634</v>
      </c>
      <c r="M72" s="90">
        <f t="shared" si="37"/>
        <v>1062.7780194168529</v>
      </c>
    </row>
    <row r="73" spans="1:13" x14ac:dyDescent="0.25">
      <c r="A73" s="32">
        <f t="shared" si="38"/>
        <v>279</v>
      </c>
      <c r="B73" s="89" t="e">
        <f t="shared" si="26"/>
        <v>#N/A</v>
      </c>
      <c r="C73" s="89" t="e">
        <f t="shared" si="27"/>
        <v>#N/A</v>
      </c>
      <c r="D73" s="89" t="e">
        <f t="shared" si="28"/>
        <v>#N/A</v>
      </c>
      <c r="E73" s="89" t="e">
        <f t="shared" si="29"/>
        <v>#N/A</v>
      </c>
      <c r="F73" s="89" t="e">
        <f t="shared" si="30"/>
        <v>#N/A</v>
      </c>
      <c r="G73" s="90" t="e">
        <f t="shared" si="31"/>
        <v>#N/A</v>
      </c>
      <c r="H73" s="89">
        <f t="shared" si="32"/>
        <v>107912.28273018073</v>
      </c>
      <c r="I73" s="89">
        <f t="shared" si="33"/>
        <v>2508960.5734767024</v>
      </c>
      <c r="J73" s="89">
        <f t="shared" si="34"/>
        <v>17921.146953405016</v>
      </c>
      <c r="K73" s="89">
        <f t="shared" si="35"/>
        <v>3791869.3922691885</v>
      </c>
      <c r="L73" s="89">
        <f t="shared" si="36"/>
        <v>1926.889315353925</v>
      </c>
      <c r="M73" s="90">
        <f t="shared" si="37"/>
        <v>1058.9656664722854</v>
      </c>
    </row>
    <row r="74" spans="1:13" x14ac:dyDescent="0.25">
      <c r="A74" s="32">
        <f t="shared" si="38"/>
        <v>280</v>
      </c>
      <c r="B74" s="89" t="e">
        <f t="shared" si="26"/>
        <v>#N/A</v>
      </c>
      <c r="C74" s="89" t="e">
        <f t="shared" si="27"/>
        <v>#N/A</v>
      </c>
      <c r="D74" s="89" t="e">
        <f t="shared" si="28"/>
        <v>#N/A</v>
      </c>
      <c r="E74" s="89" t="e">
        <f t="shared" si="29"/>
        <v>#N/A</v>
      </c>
      <c r="F74" s="89" t="e">
        <f t="shared" si="30"/>
        <v>#N/A</v>
      </c>
      <c r="G74" s="90" t="e">
        <f t="shared" si="31"/>
        <v>#N/A</v>
      </c>
      <c r="H74" s="89">
        <f t="shared" si="32"/>
        <v>107142.85714285713</v>
      </c>
      <c r="I74" s="89">
        <f t="shared" si="33"/>
        <v>2500000</v>
      </c>
      <c r="J74" s="89">
        <f t="shared" si="34"/>
        <v>17857.142857142855</v>
      </c>
      <c r="K74" s="89">
        <f t="shared" si="35"/>
        <v>3778316.0142881991</v>
      </c>
      <c r="L74" s="89">
        <f t="shared" si="36"/>
        <v>1920.0019844580438</v>
      </c>
      <c r="M74" s="90">
        <f t="shared" si="37"/>
        <v>1055.1805777833524</v>
      </c>
    </row>
    <row r="75" spans="1:13" x14ac:dyDescent="0.25">
      <c r="A75" s="32">
        <f t="shared" si="38"/>
        <v>281</v>
      </c>
      <c r="B75" s="89" t="e">
        <f t="shared" si="26"/>
        <v>#N/A</v>
      </c>
      <c r="C75" s="89" t="e">
        <f t="shared" si="27"/>
        <v>#N/A</v>
      </c>
      <c r="D75" s="89" t="e">
        <f t="shared" si="28"/>
        <v>#N/A</v>
      </c>
      <c r="E75" s="89" t="e">
        <f t="shared" si="29"/>
        <v>#N/A</v>
      </c>
      <c r="F75" s="89" t="e">
        <f t="shared" si="30"/>
        <v>#N/A</v>
      </c>
      <c r="G75" s="90" t="e">
        <f t="shared" si="31"/>
        <v>#N/A</v>
      </c>
      <c r="H75" s="89">
        <f t="shared" si="32"/>
        <v>106381.63143830496</v>
      </c>
      <c r="I75" s="89">
        <f t="shared" si="33"/>
        <v>2491103.2028469751</v>
      </c>
      <c r="J75" s="89">
        <f t="shared" si="34"/>
        <v>17793.594306049821</v>
      </c>
      <c r="K75" s="89">
        <f t="shared" si="35"/>
        <v>3764859.2182758898</v>
      </c>
      <c r="L75" s="89">
        <f t="shared" si="36"/>
        <v>1913.1637329855953</v>
      </c>
      <c r="M75" s="90">
        <f t="shared" si="37"/>
        <v>1051.4224618031949</v>
      </c>
    </row>
    <row r="76" spans="1:13" x14ac:dyDescent="0.25">
      <c r="A76" s="32">
        <f t="shared" si="38"/>
        <v>282</v>
      </c>
      <c r="B76" s="89" t="e">
        <f t="shared" si="26"/>
        <v>#N/A</v>
      </c>
      <c r="C76" s="89" t="e">
        <f t="shared" si="27"/>
        <v>#N/A</v>
      </c>
      <c r="D76" s="89" t="e">
        <f t="shared" si="28"/>
        <v>#N/A</v>
      </c>
      <c r="E76" s="89" t="e">
        <f t="shared" si="29"/>
        <v>#N/A</v>
      </c>
      <c r="F76" s="89" t="e">
        <f t="shared" si="30"/>
        <v>#N/A</v>
      </c>
      <c r="G76" s="90" t="e">
        <f t="shared" si="31"/>
        <v>#N/A</v>
      </c>
      <c r="H76" s="89">
        <f t="shared" si="32"/>
        <v>105628.48951259996</v>
      </c>
      <c r="I76" s="89">
        <f t="shared" si="33"/>
        <v>2482269.5035460992</v>
      </c>
      <c r="J76" s="89">
        <f t="shared" si="34"/>
        <v>17730.496453900709</v>
      </c>
      <c r="K76" s="89">
        <f t="shared" si="35"/>
        <v>3751497.975119317</v>
      </c>
      <c r="L76" s="89">
        <f t="shared" si="36"/>
        <v>1906.3740379790279</v>
      </c>
      <c r="M76" s="90">
        <f t="shared" si="37"/>
        <v>1047.6910311286456</v>
      </c>
    </row>
    <row r="77" spans="1:13" x14ac:dyDescent="0.25">
      <c r="A77" s="32">
        <f t="shared" si="38"/>
        <v>283</v>
      </c>
      <c r="B77" s="89" t="e">
        <f t="shared" si="26"/>
        <v>#N/A</v>
      </c>
      <c r="C77" s="89" t="e">
        <f t="shared" si="27"/>
        <v>#N/A</v>
      </c>
      <c r="D77" s="89" t="e">
        <f t="shared" si="28"/>
        <v>#N/A</v>
      </c>
      <c r="E77" s="89" t="e">
        <f t="shared" si="29"/>
        <v>#N/A</v>
      </c>
      <c r="F77" s="89" t="e">
        <f t="shared" si="30"/>
        <v>#N/A</v>
      </c>
      <c r="G77" s="90" t="e">
        <f t="shared" si="31"/>
        <v>#N/A</v>
      </c>
      <c r="H77" s="89">
        <f t="shared" si="32"/>
        <v>104883.31730949316</v>
      </c>
      <c r="I77" s="89">
        <f t="shared" si="33"/>
        <v>2473498.2332155481</v>
      </c>
      <c r="J77" s="89">
        <f t="shared" si="34"/>
        <v>17667.844522968197</v>
      </c>
      <c r="K77" s="89">
        <f t="shared" si="35"/>
        <v>3738231.2702802056</v>
      </c>
      <c r="L77" s="89">
        <f t="shared" si="36"/>
        <v>1899.6323838871033</v>
      </c>
      <c r="M77" s="90">
        <f t="shared" si="37"/>
        <v>1043.9860024268439</v>
      </c>
    </row>
    <row r="78" spans="1:13" x14ac:dyDescent="0.25">
      <c r="A78" s="32">
        <f t="shared" si="38"/>
        <v>284</v>
      </c>
      <c r="B78" s="89" t="e">
        <f t="shared" si="26"/>
        <v>#N/A</v>
      </c>
      <c r="C78" s="89" t="e">
        <f t="shared" si="27"/>
        <v>#N/A</v>
      </c>
      <c r="D78" s="89" t="e">
        <f t="shared" si="28"/>
        <v>#N/A</v>
      </c>
      <c r="E78" s="89" t="e">
        <f t="shared" si="29"/>
        <v>#N/A</v>
      </c>
      <c r="F78" s="89" t="e">
        <f t="shared" si="30"/>
        <v>#N/A</v>
      </c>
      <c r="G78" s="90" t="e">
        <f t="shared" si="31"/>
        <v>#N/A</v>
      </c>
      <c r="H78" s="89">
        <f t="shared" si="32"/>
        <v>104146.00277722672</v>
      </c>
      <c r="I78" s="89">
        <f t="shared" si="33"/>
        <v>2464788.7323943661</v>
      </c>
      <c r="J78" s="89">
        <f t="shared" si="34"/>
        <v>17605.633802816901</v>
      </c>
      <c r="K78" s="89">
        <f t="shared" si="35"/>
        <v>3725058.1035377407</v>
      </c>
      <c r="L78" s="89">
        <f t="shared" si="36"/>
        <v>1892.9382624341902</v>
      </c>
      <c r="M78" s="90">
        <f t="shared" si="37"/>
        <v>1040.3070963634057</v>
      </c>
    </row>
    <row r="79" spans="1:13" x14ac:dyDescent="0.25">
      <c r="A79" s="32">
        <f t="shared" si="38"/>
        <v>285</v>
      </c>
      <c r="B79" s="89" t="e">
        <f t="shared" si="26"/>
        <v>#N/A</v>
      </c>
      <c r="C79" s="89" t="e">
        <f t="shared" si="27"/>
        <v>#N/A</v>
      </c>
      <c r="D79" s="89" t="e">
        <f t="shared" si="28"/>
        <v>#N/A</v>
      </c>
      <c r="E79" s="89" t="e">
        <f t="shared" si="29"/>
        <v>#N/A</v>
      </c>
      <c r="F79" s="89" t="e">
        <f t="shared" si="30"/>
        <v>#N/A</v>
      </c>
      <c r="G79" s="90" t="e">
        <f t="shared" si="31"/>
        <v>#N/A</v>
      </c>
      <c r="H79" s="89">
        <f t="shared" si="32"/>
        <v>103416.43582640809</v>
      </c>
      <c r="I79" s="89">
        <f t="shared" si="33"/>
        <v>2456140.3508771933</v>
      </c>
      <c r="J79" s="89">
        <f t="shared" si="34"/>
        <v>17543.859649122805</v>
      </c>
      <c r="K79" s="89">
        <f t="shared" si="35"/>
        <v>3711977.4887368036</v>
      </c>
      <c r="L79" s="89">
        <f t="shared" si="36"/>
        <v>1886.291172492334</v>
      </c>
      <c r="M79" s="90">
        <f t="shared" si="37"/>
        <v>1036.6540375321119</v>
      </c>
    </row>
    <row r="80" spans="1:13" x14ac:dyDescent="0.25">
      <c r="A80" s="32">
        <f t="shared" si="38"/>
        <v>286</v>
      </c>
      <c r="B80" s="89" t="e">
        <f t="shared" si="26"/>
        <v>#N/A</v>
      </c>
      <c r="C80" s="89" t="e">
        <f t="shared" si="27"/>
        <v>#N/A</v>
      </c>
      <c r="D80" s="89" t="e">
        <f t="shared" si="28"/>
        <v>#N/A</v>
      </c>
      <c r="E80" s="89" t="e">
        <f t="shared" si="29"/>
        <v>#N/A</v>
      </c>
      <c r="F80" s="89" t="e">
        <f t="shared" si="30"/>
        <v>#N/A</v>
      </c>
      <c r="G80" s="90" t="e">
        <f t="shared" si="31"/>
        <v>#N/A</v>
      </c>
      <c r="H80" s="89">
        <f t="shared" si="32"/>
        <v>102694.50828891386</v>
      </c>
      <c r="I80" s="89">
        <f t="shared" si="33"/>
        <v>2447552.4475524477</v>
      </c>
      <c r="J80" s="89">
        <f t="shared" si="34"/>
        <v>17482.51748251748</v>
      </c>
      <c r="K80" s="89">
        <f t="shared" si="35"/>
        <v>3698988.4535414847</v>
      </c>
      <c r="L80" s="89">
        <f t="shared" si="36"/>
        <v>1879.6906199559928</v>
      </c>
      <c r="M80" s="90">
        <f t="shared" si="37"/>
        <v>1033.0265543860714</v>
      </c>
    </row>
    <row r="81" spans="1:13" x14ac:dyDescent="0.25">
      <c r="A81" s="32">
        <f t="shared" si="38"/>
        <v>287</v>
      </c>
      <c r="B81" s="89" t="e">
        <f t="shared" si="26"/>
        <v>#N/A</v>
      </c>
      <c r="C81" s="89" t="e">
        <f t="shared" si="27"/>
        <v>#N/A</v>
      </c>
      <c r="D81" s="89" t="e">
        <f t="shared" si="28"/>
        <v>#N/A</v>
      </c>
      <c r="E81" s="89" t="e">
        <f t="shared" si="29"/>
        <v>#N/A</v>
      </c>
      <c r="F81" s="89" t="e">
        <f t="shared" si="30"/>
        <v>#N/A</v>
      </c>
      <c r="G81" s="90" t="e">
        <f t="shared" si="31"/>
        <v>#N/A</v>
      </c>
      <c r="H81" s="89">
        <f t="shared" si="32"/>
        <v>101980.1138777938</v>
      </c>
      <c r="I81" s="89">
        <f t="shared" si="33"/>
        <v>2439024.3902439023</v>
      </c>
      <c r="J81" s="89">
        <f t="shared" si="34"/>
        <v>17421.602787456442</v>
      </c>
      <c r="K81" s="89">
        <f t="shared" si="35"/>
        <v>3686090.0391937764</v>
      </c>
      <c r="L81" s="89">
        <f t="shared" si="36"/>
        <v>1873.1361176194202</v>
      </c>
      <c r="M81" s="90">
        <f t="shared" si="37"/>
        <v>1029.4243791703311</v>
      </c>
    </row>
    <row r="82" spans="1:13" x14ac:dyDescent="0.25">
      <c r="A82" s="32">
        <f t="shared" si="38"/>
        <v>288</v>
      </c>
      <c r="B82" s="89" t="e">
        <f t="shared" si="26"/>
        <v>#N/A</v>
      </c>
      <c r="C82" s="89" t="e">
        <f t="shared" si="27"/>
        <v>#N/A</v>
      </c>
      <c r="D82" s="89" t="e">
        <f t="shared" si="28"/>
        <v>#N/A</v>
      </c>
      <c r="E82" s="89" t="e">
        <f t="shared" si="29"/>
        <v>#N/A</v>
      </c>
      <c r="F82" s="89" t="e">
        <f t="shared" si="30"/>
        <v>#N/A</v>
      </c>
      <c r="G82" s="90" t="e">
        <f t="shared" si="31"/>
        <v>#N/A</v>
      </c>
      <c r="H82" s="89">
        <f t="shared" si="32"/>
        <v>101273.14814814813</v>
      </c>
      <c r="I82" s="89">
        <f t="shared" si="33"/>
        <v>2430555.5555555555</v>
      </c>
      <c r="J82" s="89">
        <f t="shared" si="34"/>
        <v>17361.111111111109</v>
      </c>
      <c r="K82" s="89">
        <f t="shared" si="35"/>
        <v>3673281.3002773067</v>
      </c>
      <c r="L82" s="89">
        <f t="shared" si="36"/>
        <v>1866.6271850566</v>
      </c>
      <c r="M82" s="90">
        <f t="shared" si="37"/>
        <v>1025.8472478558922</v>
      </c>
    </row>
    <row r="83" spans="1:13" x14ac:dyDescent="0.25">
      <c r="A83" s="32">
        <f t="shared" si="38"/>
        <v>289</v>
      </c>
      <c r="B83" s="89" t="e">
        <f t="shared" si="26"/>
        <v>#N/A</v>
      </c>
      <c r="C83" s="89" t="e">
        <f t="shared" si="27"/>
        <v>#N/A</v>
      </c>
      <c r="D83" s="89" t="e">
        <f t="shared" si="28"/>
        <v>#N/A</v>
      </c>
      <c r="E83" s="89" t="e">
        <f t="shared" si="29"/>
        <v>#N/A</v>
      </c>
      <c r="F83" s="89" t="e">
        <f t="shared" si="30"/>
        <v>#N/A</v>
      </c>
      <c r="G83" s="90" t="e">
        <f t="shared" si="31"/>
        <v>#N/A</v>
      </c>
      <c r="H83" s="89">
        <f t="shared" si="32"/>
        <v>100573.50845895047</v>
      </c>
      <c r="I83" s="89">
        <f t="shared" si="33"/>
        <v>2422145.3287197235</v>
      </c>
      <c r="J83" s="89">
        <f t="shared" si="34"/>
        <v>17301.038062283737</v>
      </c>
      <c r="K83" s="89">
        <f t="shared" si="35"/>
        <v>3660561.3044859832</v>
      </c>
      <c r="L83" s="89">
        <f t="shared" si="36"/>
        <v>1860.16334850368</v>
      </c>
      <c r="M83" s="90">
        <f t="shared" si="37"/>
        <v>1022.2949000750993</v>
      </c>
    </row>
    <row r="84" spans="1:13" x14ac:dyDescent="0.25">
      <c r="A84" s="32">
        <f t="shared" si="38"/>
        <v>290</v>
      </c>
      <c r="B84" s="89" t="e">
        <f t="shared" si="26"/>
        <v>#N/A</v>
      </c>
      <c r="C84" s="89" t="e">
        <f t="shared" si="27"/>
        <v>#N/A</v>
      </c>
      <c r="D84" s="89" t="e">
        <f t="shared" si="28"/>
        <v>#N/A</v>
      </c>
      <c r="E84" s="89" t="e">
        <f t="shared" si="29"/>
        <v>#N/A</v>
      </c>
      <c r="F84" s="89" t="e">
        <f t="shared" si="30"/>
        <v>#N/A</v>
      </c>
      <c r="G84" s="90" t="e">
        <f t="shared" si="31"/>
        <v>#N/A</v>
      </c>
      <c r="H84" s="89">
        <f t="shared" si="32"/>
        <v>99881.093935790734</v>
      </c>
      <c r="I84" s="89">
        <f t="shared" si="33"/>
        <v>2413793.1034482759</v>
      </c>
      <c r="J84" s="89">
        <f t="shared" si="34"/>
        <v>17241.37931034483</v>
      </c>
      <c r="K84" s="89">
        <f t="shared" si="35"/>
        <v>3647929.1323974393</v>
      </c>
      <c r="L84" s="89">
        <f t="shared" si="36"/>
        <v>1853.7441407438473</v>
      </c>
      <c r="M84" s="90">
        <f t="shared" si="37"/>
        <v>1018.7670790583707</v>
      </c>
    </row>
    <row r="85" spans="1:13" x14ac:dyDescent="0.25">
      <c r="A85" s="32">
        <f t="shared" si="38"/>
        <v>291</v>
      </c>
      <c r="B85" s="89" t="e">
        <f t="shared" si="26"/>
        <v>#N/A</v>
      </c>
      <c r="C85" s="89" t="e">
        <f t="shared" si="27"/>
        <v>#N/A</v>
      </c>
      <c r="D85" s="89" t="e">
        <f t="shared" si="28"/>
        <v>#N/A</v>
      </c>
      <c r="E85" s="89" t="e">
        <f t="shared" si="29"/>
        <v>#N/A</v>
      </c>
      <c r="F85" s="89" t="e">
        <f t="shared" si="30"/>
        <v>#N/A</v>
      </c>
      <c r="G85" s="90" t="e">
        <f t="shared" si="31"/>
        <v>#N/A</v>
      </c>
      <c r="H85" s="89">
        <f t="shared" si="32"/>
        <v>99195.805434513066</v>
      </c>
      <c r="I85" s="89">
        <f t="shared" si="33"/>
        <v>2405498.2817869415</v>
      </c>
      <c r="J85" s="89">
        <f t="shared" si="34"/>
        <v>17182.13058419244</v>
      </c>
      <c r="K85" s="89">
        <f t="shared" si="35"/>
        <v>3635383.8772511706</v>
      </c>
      <c r="L85" s="89">
        <f t="shared" si="36"/>
        <v>1847.3691009945831</v>
      </c>
      <c r="M85" s="90">
        <f t="shared" si="37"/>
        <v>1015.2635315722366</v>
      </c>
    </row>
    <row r="86" spans="1:13" x14ac:dyDescent="0.25">
      <c r="A86" s="32">
        <f t="shared" si="38"/>
        <v>292</v>
      </c>
      <c r="B86" s="89" t="e">
        <f t="shared" si="26"/>
        <v>#N/A</v>
      </c>
      <c r="C86" s="89" t="e">
        <f t="shared" si="27"/>
        <v>#N/A</v>
      </c>
      <c r="D86" s="89" t="e">
        <f t="shared" si="28"/>
        <v>#N/A</v>
      </c>
      <c r="E86" s="89" t="e">
        <f t="shared" si="29"/>
        <v>#N/A</v>
      </c>
      <c r="F86" s="89" t="e">
        <f t="shared" si="30"/>
        <v>#N/A</v>
      </c>
      <c r="G86" s="90" t="e">
        <f t="shared" si="31"/>
        <v>#N/A</v>
      </c>
      <c r="H86" s="89">
        <f t="shared" si="32"/>
        <v>98517.545505723407</v>
      </c>
      <c r="I86" s="89">
        <f t="shared" si="33"/>
        <v>2397260.273972603</v>
      </c>
      <c r="J86" s="89">
        <f t="shared" si="34"/>
        <v>17123.287671232876</v>
      </c>
      <c r="K86" s="89">
        <f t="shared" si="35"/>
        <v>3622924.6447312371</v>
      </c>
      <c r="L86" s="89">
        <f t="shared" si="36"/>
        <v>1841.0377747972416</v>
      </c>
      <c r="M86" s="90">
        <f t="shared" si="37"/>
        <v>1011.7840078586552</v>
      </c>
    </row>
    <row r="87" spans="1:13" x14ac:dyDescent="0.25">
      <c r="A87" s="32">
        <f t="shared" si="38"/>
        <v>293</v>
      </c>
      <c r="B87" s="89" t="e">
        <f t="shared" si="26"/>
        <v>#N/A</v>
      </c>
      <c r="C87" s="89" t="e">
        <f t="shared" si="27"/>
        <v>#N/A</v>
      </c>
      <c r="D87" s="89" t="e">
        <f t="shared" si="28"/>
        <v>#N/A</v>
      </c>
      <c r="E87" s="89" t="e">
        <f t="shared" si="29"/>
        <v>#N/A</v>
      </c>
      <c r="F87" s="89" t="e">
        <f t="shared" si="30"/>
        <v>#N/A</v>
      </c>
      <c r="G87" s="90" t="e">
        <f t="shared" si="31"/>
        <v>#N/A</v>
      </c>
      <c r="H87" s="89">
        <f t="shared" si="32"/>
        <v>97846.218360143976</v>
      </c>
      <c r="I87" s="89">
        <f t="shared" si="33"/>
        <v>2389078.4982935153</v>
      </c>
      <c r="J87" s="89">
        <f t="shared" si="34"/>
        <v>17064.846416382254</v>
      </c>
      <c r="K87" s="89">
        <f t="shared" si="35"/>
        <v>3610550.5527534173</v>
      </c>
      <c r="L87" s="89">
        <f t="shared" si="36"/>
        <v>1834.7497139088898</v>
      </c>
      <c r="M87" s="90">
        <f t="shared" si="37"/>
        <v>1008.3282615755691</v>
      </c>
    </row>
    <row r="88" spans="1:13" x14ac:dyDescent="0.25">
      <c r="A88" s="32">
        <f t="shared" si="38"/>
        <v>294</v>
      </c>
      <c r="B88" s="89" t="e">
        <f t="shared" si="26"/>
        <v>#N/A</v>
      </c>
      <c r="C88" s="89" t="e">
        <f t="shared" si="27"/>
        <v>#N/A</v>
      </c>
      <c r="D88" s="89" t="e">
        <f t="shared" si="28"/>
        <v>#N/A</v>
      </c>
      <c r="E88" s="89" t="e">
        <f t="shared" si="29"/>
        <v>#N/A</v>
      </c>
      <c r="F88" s="89" t="e">
        <f t="shared" si="30"/>
        <v>#N/A</v>
      </c>
      <c r="G88" s="90" t="e">
        <f t="shared" si="31"/>
        <v>#N/A</v>
      </c>
      <c r="H88" s="89">
        <f t="shared" si="32"/>
        <v>97181.729834791069</v>
      </c>
      <c r="I88" s="89">
        <f t="shared" si="33"/>
        <v>2380952.3809523811</v>
      </c>
      <c r="J88" s="89">
        <f t="shared" si="34"/>
        <v>17006.802721088436</v>
      </c>
      <c r="K88" s="89">
        <f t="shared" si="35"/>
        <v>3598260.7312567406</v>
      </c>
      <c r="L88" s="89">
        <f t="shared" si="36"/>
        <v>1828.5044761963684</v>
      </c>
      <c r="M88" s="90">
        <f t="shared" si="37"/>
        <v>1004.896049738688</v>
      </c>
    </row>
    <row r="89" spans="1:13" x14ac:dyDescent="0.25">
      <c r="A89" s="32">
        <f t="shared" si="38"/>
        <v>295</v>
      </c>
      <c r="B89" s="89" t="e">
        <f t="shared" si="26"/>
        <v>#N/A</v>
      </c>
      <c r="C89" s="89" t="e">
        <f t="shared" si="27"/>
        <v>#N/A</v>
      </c>
      <c r="D89" s="89" t="e">
        <f t="shared" si="28"/>
        <v>#N/A</v>
      </c>
      <c r="E89" s="89" t="e">
        <f t="shared" si="29"/>
        <v>#N/A</v>
      </c>
      <c r="F89" s="89" t="e">
        <f t="shared" si="30"/>
        <v>#N/A</v>
      </c>
      <c r="G89" s="90" t="e">
        <f t="shared" si="31"/>
        <v>#N/A</v>
      </c>
      <c r="H89" s="89">
        <f t="shared" si="32"/>
        <v>96523.987359954044</v>
      </c>
      <c r="I89" s="89">
        <f t="shared" si="33"/>
        <v>2372881.3559322036</v>
      </c>
      <c r="J89" s="89">
        <f t="shared" si="34"/>
        <v>16949.152542372882</v>
      </c>
      <c r="K89" s="89">
        <f t="shared" si="35"/>
        <v>3586054.3219992425</v>
      </c>
      <c r="L89" s="89">
        <f t="shared" si="36"/>
        <v>1822.3016255325078</v>
      </c>
      <c r="M89" s="90">
        <f t="shared" si="37"/>
        <v>1001.4871326644467</v>
      </c>
    </row>
    <row r="90" spans="1:13" x14ac:dyDescent="0.25">
      <c r="A90" s="32">
        <f t="shared" si="38"/>
        <v>296</v>
      </c>
      <c r="B90" s="89" t="e">
        <f t="shared" si="26"/>
        <v>#N/A</v>
      </c>
      <c r="C90" s="89" t="e">
        <f t="shared" si="27"/>
        <v>#N/A</v>
      </c>
      <c r="D90" s="89" t="e">
        <f t="shared" si="28"/>
        <v>#N/A</v>
      </c>
      <c r="E90" s="89" t="e">
        <f t="shared" si="29"/>
        <v>#N/A</v>
      </c>
      <c r="F90" s="89" t="e">
        <f t="shared" si="30"/>
        <v>#N/A</v>
      </c>
      <c r="G90" s="90" t="e">
        <f t="shared" si="31"/>
        <v>#N/A</v>
      </c>
      <c r="H90" s="89">
        <f t="shared" si="32"/>
        <v>95872.899926953993</v>
      </c>
      <c r="I90" s="89">
        <f t="shared" si="33"/>
        <v>2364864.8648648649</v>
      </c>
      <c r="J90" s="89">
        <f t="shared" si="34"/>
        <v>16891.891891891893</v>
      </c>
      <c r="K90" s="89">
        <f t="shared" si="35"/>
        <v>3573930.4783578948</v>
      </c>
      <c r="L90" s="89">
        <f t="shared" si="36"/>
        <v>1816.1407316944542</v>
      </c>
      <c r="M90" s="90">
        <f t="shared" si="37"/>
        <v>998.10127391413164</v>
      </c>
    </row>
    <row r="91" spans="1:13" x14ac:dyDescent="0.25">
      <c r="A91" s="32">
        <f t="shared" si="38"/>
        <v>297</v>
      </c>
      <c r="B91" s="89" t="e">
        <f t="shared" si="26"/>
        <v>#N/A</v>
      </c>
      <c r="C91" s="89" t="e">
        <f t="shared" si="27"/>
        <v>#N/A</v>
      </c>
      <c r="D91" s="89" t="e">
        <f t="shared" si="28"/>
        <v>#N/A</v>
      </c>
      <c r="E91" s="89" t="e">
        <f t="shared" si="29"/>
        <v>#N/A</v>
      </c>
      <c r="F91" s="89" t="e">
        <f t="shared" si="30"/>
        <v>#N/A</v>
      </c>
      <c r="G91" s="90" t="e">
        <f t="shared" si="31"/>
        <v>#N/A</v>
      </c>
      <c r="H91" s="89">
        <f t="shared" si="32"/>
        <v>95228.378056660891</v>
      </c>
      <c r="I91" s="89">
        <f t="shared" si="33"/>
        <v>2356902.3569023572</v>
      </c>
      <c r="J91" s="89">
        <f t="shared" si="34"/>
        <v>16835.016835016835</v>
      </c>
      <c r="K91" s="89">
        <f t="shared" si="35"/>
        <v>3561888.3651325726</v>
      </c>
      <c r="L91" s="89">
        <f t="shared" si="36"/>
        <v>1810.0213702640572</v>
      </c>
      <c r="M91" s="90">
        <f t="shared" si="37"/>
        <v>994.73824023913573</v>
      </c>
    </row>
    <row r="92" spans="1:13" x14ac:dyDescent="0.25">
      <c r="A92" s="32">
        <f t="shared" si="38"/>
        <v>298</v>
      </c>
      <c r="B92" s="89" t="e">
        <f t="shared" si="26"/>
        <v>#N/A</v>
      </c>
      <c r="C92" s="89" t="e">
        <f t="shared" si="27"/>
        <v>#N/A</v>
      </c>
      <c r="D92" s="89" t="e">
        <f t="shared" si="28"/>
        <v>#N/A</v>
      </c>
      <c r="E92" s="89" t="e">
        <f t="shared" si="29"/>
        <v>#N/A</v>
      </c>
      <c r="F92" s="89" t="e">
        <f t="shared" si="30"/>
        <v>#N/A</v>
      </c>
      <c r="G92" s="90" t="e">
        <f t="shared" si="31"/>
        <v>#N/A</v>
      </c>
      <c r="H92" s="89">
        <f t="shared" si="32"/>
        <v>94590.333768749158</v>
      </c>
      <c r="I92" s="89">
        <f t="shared" si="33"/>
        <v>2348993.288590604</v>
      </c>
      <c r="J92" s="89">
        <f t="shared" si="34"/>
        <v>16778.523489932886</v>
      </c>
      <c r="K92" s="89">
        <f t="shared" si="35"/>
        <v>3549927.1583539788</v>
      </c>
      <c r="L92" s="89">
        <f t="shared" si="36"/>
        <v>1803.943122530261</v>
      </c>
      <c r="M92" s="90">
        <f t="shared" si="37"/>
        <v>991.39780152731453</v>
      </c>
    </row>
    <row r="93" spans="1:13" x14ac:dyDescent="0.25">
      <c r="A93" s="32">
        <f t="shared" si="38"/>
        <v>299</v>
      </c>
      <c r="B93" s="89" t="e">
        <f t="shared" si="26"/>
        <v>#N/A</v>
      </c>
      <c r="C93" s="89" t="e">
        <f t="shared" si="27"/>
        <v>#N/A</v>
      </c>
      <c r="D93" s="89" t="e">
        <f t="shared" si="28"/>
        <v>#N/A</v>
      </c>
      <c r="E93" s="89" t="e">
        <f t="shared" si="29"/>
        <v>#N/A</v>
      </c>
      <c r="F93" s="89" t="e">
        <f t="shared" si="30"/>
        <v>#N/A</v>
      </c>
      <c r="G93" s="90" t="e">
        <f t="shared" si="31"/>
        <v>#N/A</v>
      </c>
      <c r="H93" s="89">
        <f t="shared" si="32"/>
        <v>93958.680551671685</v>
      </c>
      <c r="I93" s="89">
        <f t="shared" si="33"/>
        <v>2341137.1237458196</v>
      </c>
      <c r="J93" s="89">
        <f t="shared" si="34"/>
        <v>16722.408026755853</v>
      </c>
      <c r="K93" s="89">
        <f t="shared" si="35"/>
        <v>3538046.0450954493</v>
      </c>
      <c r="L93" s="89">
        <f t="shared" si="36"/>
        <v>1797.9055753934726</v>
      </c>
      <c r="M93" s="90">
        <f t="shared" si="37"/>
        <v>988.07973075042992</v>
      </c>
    </row>
    <row r="94" spans="1:13" x14ac:dyDescent="0.25">
      <c r="A94" s="32">
        <f t="shared" si="38"/>
        <v>300</v>
      </c>
      <c r="B94" s="89" t="e">
        <f t="shared" si="26"/>
        <v>#N/A</v>
      </c>
      <c r="C94" s="89" t="e">
        <f t="shared" si="27"/>
        <v>#N/A</v>
      </c>
      <c r="D94" s="89" t="e">
        <f t="shared" si="28"/>
        <v>#N/A</v>
      </c>
      <c r="E94" s="89" t="e">
        <f t="shared" si="29"/>
        <v>#N/A</v>
      </c>
      <c r="F94" s="89" t="e">
        <f t="shared" si="30"/>
        <v>#N/A</v>
      </c>
      <c r="G94" s="90" t="e">
        <f t="shared" si="31"/>
        <v>#N/A</v>
      </c>
      <c r="H94" s="89">
        <f t="shared" si="32"/>
        <v>93333.333333333343</v>
      </c>
      <c r="I94" s="89">
        <f t="shared" si="33"/>
        <v>2333333.3333333335</v>
      </c>
      <c r="J94" s="89">
        <f t="shared" si="34"/>
        <v>16666.666666666668</v>
      </c>
      <c r="K94" s="89">
        <f t="shared" si="35"/>
        <v>3526244.223288503</v>
      </c>
      <c r="L94" s="89">
        <f t="shared" si="36"/>
        <v>1791.9083212718303</v>
      </c>
      <c r="M94" s="90">
        <f t="shared" si="37"/>
        <v>984.78380391263829</v>
      </c>
    </row>
    <row r="95" spans="1:13" x14ac:dyDescent="0.25">
      <c r="A95" s="32">
        <f t="shared" si="38"/>
        <v>301</v>
      </c>
      <c r="B95" s="89" t="e">
        <f t="shared" si="26"/>
        <v>#N/A</v>
      </c>
      <c r="C95" s="89" t="e">
        <f t="shared" si="27"/>
        <v>#N/A</v>
      </c>
      <c r="D95" s="89" t="e">
        <f t="shared" si="28"/>
        <v>#N/A</v>
      </c>
      <c r="E95" s="89" t="e">
        <f t="shared" si="29"/>
        <v>#N/A</v>
      </c>
      <c r="F95" s="89" t="e">
        <f t="shared" si="30"/>
        <v>#N/A</v>
      </c>
      <c r="G95" s="90" t="e">
        <f t="shared" si="31"/>
        <v>#N/A</v>
      </c>
      <c r="H95" s="89">
        <f t="shared" si="32"/>
        <v>92714.208452445353</v>
      </c>
      <c r="I95" s="89">
        <f t="shared" si="33"/>
        <v>2325581.3953488371</v>
      </c>
      <c r="J95" s="89">
        <f t="shared" si="34"/>
        <v>16611.295681063122</v>
      </c>
      <c r="K95" s="89">
        <f t="shared" si="35"/>
        <v>3514520.9015421048</v>
      </c>
      <c r="L95" s="89">
        <f t="shared" si="36"/>
        <v>1785.9509580093597</v>
      </c>
      <c r="M95" s="90">
        <f t="shared" si="37"/>
        <v>981.50980000001573</v>
      </c>
    </row>
    <row r="96" spans="1:13" x14ac:dyDescent="0.25">
      <c r="A96" s="32">
        <f t="shared" si="38"/>
        <v>302</v>
      </c>
      <c r="B96" s="89" t="e">
        <f t="shared" si="26"/>
        <v>#N/A</v>
      </c>
      <c r="C96" s="89" t="e">
        <f t="shared" si="27"/>
        <v>#N/A</v>
      </c>
      <c r="D96" s="89" t="e">
        <f t="shared" si="28"/>
        <v>#N/A</v>
      </c>
      <c r="E96" s="89" t="e">
        <f t="shared" si="29"/>
        <v>#N/A</v>
      </c>
      <c r="F96" s="89" t="e">
        <f t="shared" si="30"/>
        <v>#N/A</v>
      </c>
      <c r="G96" s="90" t="e">
        <f t="shared" si="31"/>
        <v>#N/A</v>
      </c>
      <c r="H96" s="89">
        <f t="shared" si="32"/>
        <v>92101.223630542532</v>
      </c>
      <c r="I96" s="89">
        <f t="shared" si="33"/>
        <v>2317880.7947019869</v>
      </c>
      <c r="J96" s="89">
        <f t="shared" si="34"/>
        <v>16556.291390728478</v>
      </c>
      <c r="K96" s="89">
        <f t="shared" si="35"/>
        <v>3502875.2989655146</v>
      </c>
      <c r="L96" s="89">
        <f t="shared" si="36"/>
        <v>1780.0330887859523</v>
      </c>
      <c r="M96" s="90">
        <f t="shared" si="37"/>
        <v>978.2575009310832</v>
      </c>
    </row>
    <row r="97" spans="1:13" x14ac:dyDescent="0.25">
      <c r="A97" s="32">
        <f t="shared" si="38"/>
        <v>303</v>
      </c>
      <c r="B97" s="89" t="e">
        <f t="shared" si="26"/>
        <v>#N/A</v>
      </c>
      <c r="C97" s="89" t="e">
        <f t="shared" si="27"/>
        <v>#N/A</v>
      </c>
      <c r="D97" s="89" t="e">
        <f t="shared" si="28"/>
        <v>#N/A</v>
      </c>
      <c r="E97" s="89" t="e">
        <f t="shared" si="29"/>
        <v>#N/A</v>
      </c>
      <c r="F97" s="89" t="e">
        <f t="shared" si="30"/>
        <v>#N/A</v>
      </c>
      <c r="G97" s="90" t="e">
        <f t="shared" si="31"/>
        <v>#N/A</v>
      </c>
      <c r="H97" s="89">
        <f t="shared" si="32"/>
        <v>91494.29794464595</v>
      </c>
      <c r="I97" s="89">
        <f t="shared" si="33"/>
        <v>2310231.0231023105</v>
      </c>
      <c r="J97" s="89">
        <f t="shared" si="34"/>
        <v>16501.650165016501</v>
      </c>
      <c r="K97" s="89">
        <f t="shared" si="35"/>
        <v>3491306.6449946477</v>
      </c>
      <c r="L97" s="89">
        <f t="shared" si="36"/>
        <v>1774.1543220291285</v>
      </c>
      <c r="M97" s="90">
        <f t="shared" si="37"/>
        <v>975.02669150831593</v>
      </c>
    </row>
    <row r="98" spans="1:13" x14ac:dyDescent="0.25">
      <c r="A98" s="32">
        <f t="shared" si="38"/>
        <v>304</v>
      </c>
      <c r="B98" s="89" t="e">
        <f t="shared" si="26"/>
        <v>#N/A</v>
      </c>
      <c r="C98" s="89" t="e">
        <f t="shared" si="27"/>
        <v>#N/A</v>
      </c>
      <c r="D98" s="89" t="e">
        <f t="shared" si="28"/>
        <v>#N/A</v>
      </c>
      <c r="E98" s="89" t="e">
        <f t="shared" si="29"/>
        <v>#N/A</v>
      </c>
      <c r="F98" s="89" t="e">
        <f t="shared" si="30"/>
        <v>#N/A</v>
      </c>
      <c r="G98" s="90" t="e">
        <f t="shared" si="31"/>
        <v>#N/A</v>
      </c>
      <c r="H98" s="89">
        <f t="shared" si="32"/>
        <v>90893.351800554025</v>
      </c>
      <c r="I98" s="89">
        <f t="shared" si="33"/>
        <v>2302631.5789473685</v>
      </c>
      <c r="J98" s="89">
        <f t="shared" si="34"/>
        <v>16447.368421052633</v>
      </c>
      <c r="K98" s="89">
        <f t="shared" si="35"/>
        <v>3479814.1792218876</v>
      </c>
      <c r="L98" s="89">
        <f t="shared" si="36"/>
        <v>1768.3142713275533</v>
      </c>
      <c r="M98" s="90">
        <f t="shared" si="37"/>
        <v>971.8171593706129</v>
      </c>
    </row>
    <row r="99" spans="1:13" x14ac:dyDescent="0.25">
      <c r="A99" s="32">
        <f t="shared" si="38"/>
        <v>305</v>
      </c>
      <c r="B99" s="89" t="e">
        <f t="shared" si="26"/>
        <v>#N/A</v>
      </c>
      <c r="C99" s="89" t="e">
        <f t="shared" si="27"/>
        <v>#N/A</v>
      </c>
      <c r="D99" s="89" t="e">
        <f t="shared" si="28"/>
        <v>#N/A</v>
      </c>
      <c r="E99" s="89" t="e">
        <f t="shared" si="29"/>
        <v>#N/A</v>
      </c>
      <c r="F99" s="89" t="e">
        <f t="shared" si="30"/>
        <v>#N/A</v>
      </c>
      <c r="G99" s="90" t="e">
        <f t="shared" si="31"/>
        <v>#N/A</v>
      </c>
      <c r="H99" s="89">
        <f t="shared" si="32"/>
        <v>90298.306906745507</v>
      </c>
      <c r="I99" s="89">
        <f t="shared" si="33"/>
        <v>2295081.9672131152</v>
      </c>
      <c r="J99" s="89">
        <f t="shared" si="34"/>
        <v>16393.442622950821</v>
      </c>
      <c r="K99" s="89">
        <f t="shared" si="35"/>
        <v>3468397.1512292395</v>
      </c>
      <c r="L99" s="89">
        <f t="shared" si="36"/>
        <v>1762.512555346254</v>
      </c>
      <c r="M99" s="90">
        <f t="shared" si="37"/>
        <v>968.6286949467019</v>
      </c>
    </row>
    <row r="100" spans="1:13" x14ac:dyDescent="0.25">
      <c r="A100" s="32">
        <f t="shared" si="38"/>
        <v>306</v>
      </c>
      <c r="B100" s="89" t="e">
        <f t="shared" ref="B100:B131" si="39">IF(Load_Case=1,(6*FL_SUS*H_Trunnion)/(A100*0.001)^2,NA())</f>
        <v>#N/A</v>
      </c>
      <c r="C100" s="89" t="e">
        <f t="shared" ref="C100:C131" si="40">IF(Load_Case=1,(6*FC_SUS*H_STRA)/(A100*t_STRA*0.000001),NA())</f>
        <v>#N/A</v>
      </c>
      <c r="D100" s="89" t="e">
        <f t="shared" ref="D100:D131" si="41">IF(Load_Case=1,FA_SUS*1000/(A100*0.001),NA())</f>
        <v>#N/A</v>
      </c>
      <c r="E100" s="89" t="e">
        <f t="shared" ref="E100:E131" si="42">1.5*D100+SQRT((B100^2+(1.5*C100)^2))</f>
        <v>#N/A</v>
      </c>
      <c r="F100" s="89" t="e">
        <f t="shared" ref="F100:F131" si="43">IF(SL_STRA,(1.17*E100*SQRT(0.5*D*0.001))*0.000001/((tnet_STRA*0.001)^1.5),NA())</f>
        <v>#N/A</v>
      </c>
      <c r="G100" s="90" t="e">
        <f t="shared" ref="G100:G131" si="44">IF(SC_STRA,(0.643*E100*SQRT((D*0.5)*0.001))*0.000001/((tnet_STRA*0.001)^1.5),NA())</f>
        <v>#N/A</v>
      </c>
      <c r="H100" s="89">
        <f t="shared" ref="H100:H131" si="45">IF(Load_Case=2,(6*FL_EXP*H_Trunnion)/(A100*0.001)^2,NA())</f>
        <v>89709.086248878637</v>
      </c>
      <c r="I100" s="89">
        <f t="shared" ref="I100:I131" si="46">IF(Load_Case=2,(6*FC_EXP*H_STRA)/(A100*t_STRA*0.000001),NA())</f>
        <v>2287581.6993464055</v>
      </c>
      <c r="J100" s="89">
        <f t="shared" ref="J100:J131" si="47">IF(Load_Case=2,FA_EXP*1000/(A100*0.001),NA())</f>
        <v>16339.869281045752</v>
      </c>
      <c r="K100" s="89">
        <f t="shared" ref="K100:K131" si="48">1.5*J100+SQRT((H100^2+(1.5*I100)^2))</f>
        <v>3457054.8204247658</v>
      </c>
      <c r="L100" s="89">
        <f t="shared" ref="L100:L131" si="49">IF(SL_STRA,(1.17*K100*SQRT(0.5*D*0.001))*0.000001/((tnet_STRA*0.001)^1.5),NA())</f>
        <v>1756.7487977434973</v>
      </c>
      <c r="M100" s="90">
        <f t="shared" ref="M100:M131" si="50">IF(SC_STRA,(0.643*K100*SQRT((D*0.5)*0.001))*0.000001/((tnet_STRA*0.001)^1.5),NA())</f>
        <v>965.46109140946044</v>
      </c>
    </row>
    <row r="101" spans="1:13" x14ac:dyDescent="0.25">
      <c r="A101" s="32">
        <f t="shared" ref="A101:A132" si="51">IF((A100+L_STRA_Increment)&gt;Max_STRA_L,NA(),A100+L_STRA_Increment)</f>
        <v>307</v>
      </c>
      <c r="B101" s="89" t="e">
        <f t="shared" si="39"/>
        <v>#N/A</v>
      </c>
      <c r="C101" s="89" t="e">
        <f t="shared" si="40"/>
        <v>#N/A</v>
      </c>
      <c r="D101" s="89" t="e">
        <f t="shared" si="41"/>
        <v>#N/A</v>
      </c>
      <c r="E101" s="89" t="e">
        <f t="shared" si="42"/>
        <v>#N/A</v>
      </c>
      <c r="F101" s="89" t="e">
        <f t="shared" si="43"/>
        <v>#N/A</v>
      </c>
      <c r="G101" s="90" t="e">
        <f t="shared" si="44"/>
        <v>#N/A</v>
      </c>
      <c r="H101" s="89">
        <f t="shared" si="45"/>
        <v>89125.614064870722</v>
      </c>
      <c r="I101" s="89">
        <f t="shared" si="46"/>
        <v>2280130.2931596092</v>
      </c>
      <c r="J101" s="89">
        <f t="shared" si="47"/>
        <v>16286.644951140066</v>
      </c>
      <c r="K101" s="89">
        <f t="shared" si="48"/>
        <v>3445786.4558822354</v>
      </c>
      <c r="L101" s="89">
        <f t="shared" si="49"/>
        <v>1751.0226270893122</v>
      </c>
      <c r="M101" s="90">
        <f t="shared" si="50"/>
        <v>962.31414463113492</v>
      </c>
    </row>
    <row r="102" spans="1:13" x14ac:dyDescent="0.25">
      <c r="A102" s="32">
        <f t="shared" si="51"/>
        <v>308</v>
      </c>
      <c r="B102" s="89" t="e">
        <f t="shared" si="39"/>
        <v>#N/A</v>
      </c>
      <c r="C102" s="89" t="e">
        <f t="shared" si="40"/>
        <v>#N/A</v>
      </c>
      <c r="D102" s="89" t="e">
        <f t="shared" si="41"/>
        <v>#N/A</v>
      </c>
      <c r="E102" s="89" t="e">
        <f t="shared" si="42"/>
        <v>#N/A</v>
      </c>
      <c r="F102" s="89" t="e">
        <f t="shared" si="43"/>
        <v>#N/A</v>
      </c>
      <c r="G102" s="90" t="e">
        <f t="shared" si="44"/>
        <v>#N/A</v>
      </c>
      <c r="H102" s="89">
        <f t="shared" si="45"/>
        <v>88547.815820543095</v>
      </c>
      <c r="I102" s="89">
        <f t="shared" si="46"/>
        <v>2272727.2727272729</v>
      </c>
      <c r="J102" s="89">
        <f t="shared" si="47"/>
        <v>16233.766233766233</v>
      </c>
      <c r="K102" s="89">
        <f t="shared" si="48"/>
        <v>3434591.3361838921</v>
      </c>
      <c r="L102" s="89">
        <f t="shared" si="49"/>
        <v>1745.3336767855844</v>
      </c>
      <c r="M102" s="90">
        <f t="shared" si="50"/>
        <v>959.18765313942822</v>
      </c>
    </row>
    <row r="103" spans="1:13" x14ac:dyDescent="0.25">
      <c r="A103" s="32">
        <f t="shared" si="51"/>
        <v>309</v>
      </c>
      <c r="B103" s="89" t="e">
        <f t="shared" si="39"/>
        <v>#N/A</v>
      </c>
      <c r="C103" s="89" t="e">
        <f t="shared" si="40"/>
        <v>#N/A</v>
      </c>
      <c r="D103" s="89" t="e">
        <f t="shared" si="41"/>
        <v>#N/A</v>
      </c>
      <c r="E103" s="89" t="e">
        <f t="shared" si="42"/>
        <v>#N/A</v>
      </c>
      <c r="F103" s="89" t="e">
        <f t="shared" si="43"/>
        <v>#N/A</v>
      </c>
      <c r="G103" s="90" t="e">
        <f t="shared" si="44"/>
        <v>#N/A</v>
      </c>
      <c r="H103" s="89">
        <f t="shared" si="45"/>
        <v>87975.618185817075</v>
      </c>
      <c r="I103" s="89">
        <f t="shared" si="46"/>
        <v>2265372.1682847897</v>
      </c>
      <c r="J103" s="89">
        <f t="shared" si="47"/>
        <v>16181.229773462783</v>
      </c>
      <c r="K103" s="89">
        <f t="shared" si="48"/>
        <v>3423468.7492662906</v>
      </c>
      <c r="L103" s="89">
        <f t="shared" si="49"/>
        <v>1739.6815849877189</v>
      </c>
      <c r="M103" s="90">
        <f t="shared" si="50"/>
        <v>956.08141807444736</v>
      </c>
    </row>
    <row r="104" spans="1:13" x14ac:dyDescent="0.25">
      <c r="A104" s="32">
        <f t="shared" si="51"/>
        <v>310</v>
      </c>
      <c r="B104" s="89" t="e">
        <f t="shared" si="39"/>
        <v>#N/A</v>
      </c>
      <c r="C104" s="89" t="e">
        <f t="shared" si="40"/>
        <v>#N/A</v>
      </c>
      <c r="D104" s="89" t="e">
        <f t="shared" si="41"/>
        <v>#N/A</v>
      </c>
      <c r="E104" s="89" t="e">
        <f t="shared" si="42"/>
        <v>#N/A</v>
      </c>
      <c r="F104" s="89" t="e">
        <f t="shared" si="43"/>
        <v>#N/A</v>
      </c>
      <c r="G104" s="90" t="e">
        <f t="shared" si="44"/>
        <v>#N/A</v>
      </c>
      <c r="H104" s="89">
        <f t="shared" si="45"/>
        <v>87408.949011446399</v>
      </c>
      <c r="I104" s="89">
        <f t="shared" si="46"/>
        <v>2258064.5161290322</v>
      </c>
      <c r="J104" s="89">
        <f t="shared" si="47"/>
        <v>16129.032258064517</v>
      </c>
      <c r="K104" s="89">
        <f t="shared" si="48"/>
        <v>3412417.9922691174</v>
      </c>
      <c r="L104" s="89">
        <f t="shared" si="49"/>
        <v>1734.0659945278162</v>
      </c>
      <c r="M104" s="90">
        <f t="shared" si="50"/>
        <v>952.99524314648352</v>
      </c>
    </row>
    <row r="105" spans="1:13" x14ac:dyDescent="0.25">
      <c r="A105" s="32">
        <f t="shared" si="51"/>
        <v>311</v>
      </c>
      <c r="B105" s="89" t="e">
        <f t="shared" si="39"/>
        <v>#N/A</v>
      </c>
      <c r="C105" s="89" t="e">
        <f t="shared" si="40"/>
        <v>#N/A</v>
      </c>
      <c r="D105" s="89" t="e">
        <f t="shared" si="41"/>
        <v>#N/A</v>
      </c>
      <c r="E105" s="89" t="e">
        <f t="shared" si="42"/>
        <v>#N/A</v>
      </c>
      <c r="F105" s="89" t="e">
        <f t="shared" si="43"/>
        <v>#N/A</v>
      </c>
      <c r="G105" s="90" t="e">
        <f t="shared" si="44"/>
        <v>#N/A</v>
      </c>
      <c r="H105" s="89">
        <f t="shared" si="45"/>
        <v>86847.737306272684</v>
      </c>
      <c r="I105" s="89">
        <f t="shared" si="46"/>
        <v>2250803.8585209004</v>
      </c>
      <c r="J105" s="89">
        <f t="shared" si="47"/>
        <v>16077.170418006432</v>
      </c>
      <c r="K105" s="89">
        <f t="shared" si="48"/>
        <v>3401438.3713869415</v>
      </c>
      <c r="L105" s="89">
        <f t="shared" si="49"/>
        <v>1728.4865528393352</v>
      </c>
      <c r="M105" s="90">
        <f t="shared" si="50"/>
        <v>949.92893459460902</v>
      </c>
    </row>
    <row r="106" spans="1:13" x14ac:dyDescent="0.25">
      <c r="A106" s="32">
        <f t="shared" si="51"/>
        <v>312</v>
      </c>
      <c r="B106" s="89" t="e">
        <f t="shared" si="39"/>
        <v>#N/A</v>
      </c>
      <c r="C106" s="89" t="e">
        <f t="shared" si="40"/>
        <v>#N/A</v>
      </c>
      <c r="D106" s="89" t="e">
        <f t="shared" si="41"/>
        <v>#N/A</v>
      </c>
      <c r="E106" s="89" t="e">
        <f t="shared" si="42"/>
        <v>#N/A</v>
      </c>
      <c r="F106" s="89" t="e">
        <f t="shared" si="43"/>
        <v>#N/A</v>
      </c>
      <c r="G106" s="90" t="e">
        <f t="shared" si="44"/>
        <v>#N/A</v>
      </c>
      <c r="H106" s="89">
        <f t="shared" si="45"/>
        <v>86291.913214990142</v>
      </c>
      <c r="I106" s="89">
        <f t="shared" si="46"/>
        <v>2243589.7435897435</v>
      </c>
      <c r="J106" s="89">
        <f t="shared" si="47"/>
        <v>16025.641025641025</v>
      </c>
      <c r="K106" s="89">
        <f t="shared" si="48"/>
        <v>3390529.2017238191</v>
      </c>
      <c r="L106" s="89">
        <f t="shared" si="49"/>
        <v>1722.9429118832118</v>
      </c>
      <c r="M106" s="90">
        <f t="shared" si="50"/>
        <v>946.88230114607279</v>
      </c>
    </row>
    <row r="107" spans="1:13" x14ac:dyDescent="0.25">
      <c r="A107" s="32">
        <f t="shared" si="51"/>
        <v>313</v>
      </c>
      <c r="B107" s="89" t="e">
        <f t="shared" si="39"/>
        <v>#N/A</v>
      </c>
      <c r="C107" s="89" t="e">
        <f t="shared" si="40"/>
        <v>#N/A</v>
      </c>
      <c r="D107" s="89" t="e">
        <f t="shared" si="41"/>
        <v>#N/A</v>
      </c>
      <c r="E107" s="89" t="e">
        <f t="shared" si="42"/>
        <v>#N/A</v>
      </c>
      <c r="F107" s="89" t="e">
        <f t="shared" si="43"/>
        <v>#N/A</v>
      </c>
      <c r="G107" s="90" t="e">
        <f t="shared" si="44"/>
        <v>#N/A</v>
      </c>
      <c r="H107" s="89">
        <f t="shared" si="45"/>
        <v>85741.407996407026</v>
      </c>
      <c r="I107" s="89">
        <f t="shared" si="46"/>
        <v>2236421.7252396168</v>
      </c>
      <c r="J107" s="89">
        <f t="shared" si="47"/>
        <v>15974.44089456869</v>
      </c>
      <c r="K107" s="89">
        <f t="shared" si="48"/>
        <v>3379689.8071506922</v>
      </c>
      <c r="L107" s="89">
        <f t="shared" si="49"/>
        <v>1717.4347280753923</v>
      </c>
      <c r="M107" s="90">
        <f t="shared" si="50"/>
        <v>943.85515397647634</v>
      </c>
    </row>
    <row r="108" spans="1:13" x14ac:dyDescent="0.25">
      <c r="A108" s="32">
        <f t="shared" si="51"/>
        <v>314</v>
      </c>
      <c r="B108" s="89" t="e">
        <f t="shared" si="39"/>
        <v>#N/A</v>
      </c>
      <c r="C108" s="89" t="e">
        <f t="shared" si="40"/>
        <v>#N/A</v>
      </c>
      <c r="D108" s="89" t="e">
        <f t="shared" si="41"/>
        <v>#N/A</v>
      </c>
      <c r="E108" s="89" t="e">
        <f t="shared" si="42"/>
        <v>#N/A</v>
      </c>
      <c r="F108" s="89" t="e">
        <f t="shared" si="43"/>
        <v>#N/A</v>
      </c>
      <c r="G108" s="90" t="e">
        <f t="shared" si="44"/>
        <v>#N/A</v>
      </c>
      <c r="H108" s="89">
        <f t="shared" si="45"/>
        <v>85196.154002190757</v>
      </c>
      <c r="I108" s="89">
        <f t="shared" si="46"/>
        <v>2229299.3630573251</v>
      </c>
      <c r="J108" s="89">
        <f t="shared" si="47"/>
        <v>15923.566878980891</v>
      </c>
      <c r="K108" s="89">
        <f t="shared" si="48"/>
        <v>3368919.5201655161</v>
      </c>
      <c r="L108" s="89">
        <f t="shared" si="49"/>
        <v>1711.9616622157546</v>
      </c>
      <c r="M108" s="90">
        <f t="shared" si="50"/>
        <v>940.84730667070994</v>
      </c>
    </row>
    <row r="109" spans="1:13" x14ac:dyDescent="0.25">
      <c r="A109" s="32">
        <f t="shared" si="51"/>
        <v>315</v>
      </c>
      <c r="B109" s="89" t="e">
        <f t="shared" si="39"/>
        <v>#N/A</v>
      </c>
      <c r="C109" s="89" t="e">
        <f t="shared" si="40"/>
        <v>#N/A</v>
      </c>
      <c r="D109" s="89" t="e">
        <f t="shared" si="41"/>
        <v>#N/A</v>
      </c>
      <c r="E109" s="89" t="e">
        <f t="shared" si="42"/>
        <v>#N/A</v>
      </c>
      <c r="F109" s="89" t="e">
        <f t="shared" si="43"/>
        <v>#N/A</v>
      </c>
      <c r="G109" s="90" t="e">
        <f t="shared" si="44"/>
        <v>#N/A</v>
      </c>
      <c r="H109" s="89">
        <f t="shared" si="45"/>
        <v>84656.084656084655</v>
      </c>
      <c r="I109" s="89">
        <f t="shared" si="46"/>
        <v>2222222.2222222225</v>
      </c>
      <c r="J109" s="89">
        <f t="shared" si="47"/>
        <v>15873.015873015873</v>
      </c>
      <c r="K109" s="89">
        <f t="shared" si="48"/>
        <v>3358217.6817560601</v>
      </c>
      <c r="L109" s="89">
        <f t="shared" si="49"/>
        <v>1706.5233794183923</v>
      </c>
      <c r="M109" s="90">
        <f t="shared" si="50"/>
        <v>937.85857518463763</v>
      </c>
    </row>
    <row r="110" spans="1:13" x14ac:dyDescent="0.25">
      <c r="A110" s="32">
        <f t="shared" si="51"/>
        <v>316</v>
      </c>
      <c r="B110" s="89" t="e">
        <f t="shared" si="39"/>
        <v>#N/A</v>
      </c>
      <c r="C110" s="89" t="e">
        <f t="shared" si="40"/>
        <v>#N/A</v>
      </c>
      <c r="D110" s="89" t="e">
        <f t="shared" si="41"/>
        <v>#N/A</v>
      </c>
      <c r="E110" s="89" t="e">
        <f t="shared" si="42"/>
        <v>#N/A</v>
      </c>
      <c r="F110" s="89" t="e">
        <f t="shared" si="43"/>
        <v>#N/A</v>
      </c>
      <c r="G110" s="90" t="e">
        <f t="shared" si="44"/>
        <v>#N/A</v>
      </c>
      <c r="H110" s="89">
        <f t="shared" si="45"/>
        <v>84121.134433584361</v>
      </c>
      <c r="I110" s="89">
        <f t="shared" si="46"/>
        <v>2215189.8734177216</v>
      </c>
      <c r="J110" s="89">
        <f t="shared" si="47"/>
        <v>15822.784810126583</v>
      </c>
      <c r="K110" s="89">
        <f t="shared" si="48"/>
        <v>3347583.6412653201</v>
      </c>
      <c r="L110" s="89">
        <f t="shared" si="49"/>
        <v>1701.1195490432153</v>
      </c>
      <c r="M110" s="90">
        <f t="shared" si="50"/>
        <v>934.88877780751079</v>
      </c>
    </row>
    <row r="111" spans="1:13" x14ac:dyDescent="0.25">
      <c r="A111" s="32">
        <f t="shared" si="51"/>
        <v>317</v>
      </c>
      <c r="B111" s="89" t="e">
        <f t="shared" si="39"/>
        <v>#N/A</v>
      </c>
      <c r="C111" s="89" t="e">
        <f t="shared" si="40"/>
        <v>#N/A</v>
      </c>
      <c r="D111" s="89" t="e">
        <f t="shared" si="41"/>
        <v>#N/A</v>
      </c>
      <c r="E111" s="89" t="e">
        <f t="shared" si="42"/>
        <v>#N/A</v>
      </c>
      <c r="F111" s="89" t="e">
        <f t="shared" si="43"/>
        <v>#N/A</v>
      </c>
      <c r="G111" s="90" t="e">
        <f t="shared" si="44"/>
        <v>#N/A</v>
      </c>
      <c r="H111" s="89">
        <f t="shared" si="45"/>
        <v>83591.238842062303</v>
      </c>
      <c r="I111" s="89">
        <f t="shared" si="46"/>
        <v>2208201.8927444797</v>
      </c>
      <c r="J111" s="89">
        <f t="shared" si="47"/>
        <v>15772.870662460567</v>
      </c>
      <c r="K111" s="89">
        <f t="shared" si="48"/>
        <v>3337016.7562594828</v>
      </c>
      <c r="L111" s="89">
        <f t="shared" si="49"/>
        <v>1695.7498446288612</v>
      </c>
      <c r="M111" s="90">
        <f t="shared" si="50"/>
        <v>931.93773512509222</v>
      </c>
    </row>
    <row r="112" spans="1:13" x14ac:dyDescent="0.25">
      <c r="A112" s="32">
        <f t="shared" si="51"/>
        <v>318</v>
      </c>
      <c r="B112" s="89" t="e">
        <f t="shared" si="39"/>
        <v>#N/A</v>
      </c>
      <c r="C112" s="89" t="e">
        <f t="shared" si="40"/>
        <v>#N/A</v>
      </c>
      <c r="D112" s="89" t="e">
        <f t="shared" si="41"/>
        <v>#N/A</v>
      </c>
      <c r="E112" s="89" t="e">
        <f t="shared" si="42"/>
        <v>#N/A</v>
      </c>
      <c r="F112" s="89" t="e">
        <f t="shared" si="43"/>
        <v>#N/A</v>
      </c>
      <c r="G112" s="90" t="e">
        <f t="shared" si="44"/>
        <v>#N/A</v>
      </c>
      <c r="H112" s="89">
        <f t="shared" si="45"/>
        <v>83066.334401329063</v>
      </c>
      <c r="I112" s="89">
        <f t="shared" si="46"/>
        <v>2201257.8616352202</v>
      </c>
      <c r="J112" s="89">
        <f t="shared" si="47"/>
        <v>15723.270440251572</v>
      </c>
      <c r="K112" s="89">
        <f t="shared" si="48"/>
        <v>3326516.3923983802</v>
      </c>
      <c r="L112" s="89">
        <f t="shared" si="49"/>
        <v>1690.4139438268614</v>
      </c>
      <c r="M112" s="90">
        <f t="shared" si="50"/>
        <v>929.00526998348039</v>
      </c>
    </row>
    <row r="113" spans="1:13" x14ac:dyDescent="0.25">
      <c r="A113" s="32">
        <f t="shared" si="51"/>
        <v>319</v>
      </c>
      <c r="B113" s="89" t="e">
        <f t="shared" si="39"/>
        <v>#N/A</v>
      </c>
      <c r="C113" s="89" t="e">
        <f t="shared" si="40"/>
        <v>#N/A</v>
      </c>
      <c r="D113" s="89" t="e">
        <f t="shared" si="41"/>
        <v>#N/A</v>
      </c>
      <c r="E113" s="89" t="e">
        <f t="shared" si="42"/>
        <v>#N/A</v>
      </c>
      <c r="F113" s="89" t="e">
        <f t="shared" si="43"/>
        <v>#N/A</v>
      </c>
      <c r="G113" s="90" t="e">
        <f t="shared" si="44"/>
        <v>#N/A</v>
      </c>
      <c r="H113" s="89">
        <f t="shared" si="45"/>
        <v>82546.358624620436</v>
      </c>
      <c r="I113" s="89">
        <f t="shared" si="46"/>
        <v>2194357.3667711602</v>
      </c>
      <c r="J113" s="89">
        <f t="shared" si="47"/>
        <v>15673.98119122257</v>
      </c>
      <c r="K113" s="89">
        <f t="shared" si="48"/>
        <v>3316081.9233083981</v>
      </c>
      <c r="L113" s="89">
        <f t="shared" si="49"/>
        <v>1685.1115283370589</v>
      </c>
      <c r="M113" s="90">
        <f t="shared" si="50"/>
        <v>926.0912074536144</v>
      </c>
    </row>
    <row r="114" spans="1:13" x14ac:dyDescent="0.25">
      <c r="A114" s="32">
        <f t="shared" si="51"/>
        <v>320</v>
      </c>
      <c r="B114" s="89" t="e">
        <f t="shared" si="39"/>
        <v>#N/A</v>
      </c>
      <c r="C114" s="89" t="e">
        <f t="shared" si="40"/>
        <v>#N/A</v>
      </c>
      <c r="D114" s="89" t="e">
        <f t="shared" si="41"/>
        <v>#N/A</v>
      </c>
      <c r="E114" s="89" t="e">
        <f t="shared" si="42"/>
        <v>#N/A</v>
      </c>
      <c r="F114" s="89" t="e">
        <f t="shared" si="43"/>
        <v>#N/A</v>
      </c>
      <c r="G114" s="90" t="e">
        <f t="shared" si="44"/>
        <v>#N/A</v>
      </c>
      <c r="H114" s="89">
        <f t="shared" si="45"/>
        <v>82031.25</v>
      </c>
      <c r="I114" s="89">
        <f t="shared" si="46"/>
        <v>2187500</v>
      </c>
      <c r="J114" s="89">
        <f t="shared" si="47"/>
        <v>15625</v>
      </c>
      <c r="K114" s="89">
        <f t="shared" si="48"/>
        <v>3305712.7304577632</v>
      </c>
      <c r="L114" s="89">
        <f t="shared" si="49"/>
        <v>1679.842283844232</v>
      </c>
      <c r="M114" s="90">
        <f t="shared" si="50"/>
        <v>923.19537479644532</v>
      </c>
    </row>
    <row r="115" spans="1:13" x14ac:dyDescent="0.25">
      <c r="A115" s="32">
        <f t="shared" si="51"/>
        <v>321</v>
      </c>
      <c r="B115" s="89" t="e">
        <f t="shared" si="39"/>
        <v>#N/A</v>
      </c>
      <c r="C115" s="89" t="e">
        <f t="shared" si="40"/>
        <v>#N/A</v>
      </c>
      <c r="D115" s="89" t="e">
        <f t="shared" si="41"/>
        <v>#N/A</v>
      </c>
      <c r="E115" s="89" t="e">
        <f t="shared" si="42"/>
        <v>#N/A</v>
      </c>
      <c r="F115" s="89" t="e">
        <f t="shared" si="43"/>
        <v>#N/A</v>
      </c>
      <c r="G115" s="90" t="e">
        <f t="shared" si="44"/>
        <v>#N/A</v>
      </c>
      <c r="H115" s="89">
        <f t="shared" si="45"/>
        <v>81520.94797216641</v>
      </c>
      <c r="I115" s="89">
        <f t="shared" si="46"/>
        <v>2180685.3582554515</v>
      </c>
      <c r="J115" s="89">
        <f t="shared" si="47"/>
        <v>15576.323987538941</v>
      </c>
      <c r="K115" s="89">
        <f t="shared" si="48"/>
        <v>3295408.2030341723</v>
      </c>
      <c r="L115" s="89">
        <f t="shared" si="49"/>
        <v>1674.6058999559129</v>
      </c>
      <c r="M115" s="90">
        <f t="shared" si="50"/>
        <v>920.31760142876237</v>
      </c>
    </row>
    <row r="116" spans="1:13" x14ac:dyDescent="0.25">
      <c r="A116" s="32">
        <f t="shared" si="51"/>
        <v>322</v>
      </c>
      <c r="B116" s="89" t="e">
        <f t="shared" si="39"/>
        <v>#N/A</v>
      </c>
      <c r="C116" s="89" t="e">
        <f t="shared" si="40"/>
        <v>#N/A</v>
      </c>
      <c r="D116" s="89" t="e">
        <f t="shared" si="41"/>
        <v>#N/A</v>
      </c>
      <c r="E116" s="89" t="e">
        <f t="shared" si="42"/>
        <v>#N/A</v>
      </c>
      <c r="F116" s="89" t="e">
        <f t="shared" si="43"/>
        <v>#N/A</v>
      </c>
      <c r="G116" s="90" t="e">
        <f t="shared" si="44"/>
        <v>#N/A</v>
      </c>
      <c r="H116" s="89">
        <f t="shared" si="45"/>
        <v>81015.39292465568</v>
      </c>
      <c r="I116" s="89">
        <f t="shared" si="46"/>
        <v>2173913.0434782607</v>
      </c>
      <c r="J116" s="89">
        <f t="shared" si="47"/>
        <v>15527.950310559007</v>
      </c>
      <c r="K116" s="89">
        <f t="shared" si="48"/>
        <v>3285167.7378247017</v>
      </c>
      <c r="L116" s="89">
        <f t="shared" si="49"/>
        <v>1669.4020701413594</v>
      </c>
      <c r="M116" s="90">
        <f t="shared" si="50"/>
        <v>917.45771888965317</v>
      </c>
    </row>
    <row r="117" spans="1:13" x14ac:dyDescent="0.25">
      <c r="A117" s="32">
        <f t="shared" si="51"/>
        <v>323</v>
      </c>
      <c r="B117" s="89" t="e">
        <f t="shared" si="39"/>
        <v>#N/A</v>
      </c>
      <c r="C117" s="89" t="e">
        <f t="shared" si="40"/>
        <v>#N/A</v>
      </c>
      <c r="D117" s="89" t="e">
        <f t="shared" si="41"/>
        <v>#N/A</v>
      </c>
      <c r="E117" s="89" t="e">
        <f t="shared" si="42"/>
        <v>#N/A</v>
      </c>
      <c r="F117" s="89" t="e">
        <f t="shared" si="43"/>
        <v>#N/A</v>
      </c>
      <c r="G117" s="90" t="e">
        <f t="shared" si="44"/>
        <v>#N/A</v>
      </c>
      <c r="H117" s="89">
        <f t="shared" si="45"/>
        <v>80514.526162428461</v>
      </c>
      <c r="I117" s="89">
        <f t="shared" si="46"/>
        <v>2167182.6625386998</v>
      </c>
      <c r="J117" s="89">
        <f t="shared" si="47"/>
        <v>15479.876160990712</v>
      </c>
      <c r="K117" s="89">
        <f t="shared" si="48"/>
        <v>3274990.7390979556</v>
      </c>
      <c r="L117" s="89">
        <f t="shared" si="49"/>
        <v>1664.2304916716691</v>
      </c>
      <c r="M117" s="90">
        <f t="shared" si="50"/>
        <v>914.6155608075926</v>
      </c>
    </row>
    <row r="118" spans="1:13" x14ac:dyDescent="0.25">
      <c r="A118" s="32">
        <f t="shared" si="51"/>
        <v>324</v>
      </c>
      <c r="B118" s="89" t="e">
        <f t="shared" si="39"/>
        <v>#N/A</v>
      </c>
      <c r="C118" s="89" t="e">
        <f t="shared" si="40"/>
        <v>#N/A</v>
      </c>
      <c r="D118" s="89" t="e">
        <f t="shared" si="41"/>
        <v>#N/A</v>
      </c>
      <c r="E118" s="89" t="e">
        <f t="shared" si="42"/>
        <v>#N/A</v>
      </c>
      <c r="F118" s="89" t="e">
        <f t="shared" si="43"/>
        <v>#N/A</v>
      </c>
      <c r="G118" s="90" t="e">
        <f t="shared" si="44"/>
        <v>#N/A</v>
      </c>
      <c r="H118" s="89">
        <f t="shared" si="45"/>
        <v>80018.289894833099</v>
      </c>
      <c r="I118" s="89">
        <f t="shared" si="46"/>
        <v>2160493.8271604939</v>
      </c>
      <c r="J118" s="89">
        <f t="shared" si="47"/>
        <v>15432.098765432098</v>
      </c>
      <c r="K118" s="89">
        <f t="shared" si="48"/>
        <v>3264876.6184883984</v>
      </c>
      <c r="L118" s="89">
        <f t="shared" si="49"/>
        <v>1659.0908655609992</v>
      </c>
      <c r="M118" s="90">
        <f t="shared" si="50"/>
        <v>911.79096286813899</v>
      </c>
    </row>
    <row r="119" spans="1:13" x14ac:dyDescent="0.25">
      <c r="A119" s="32">
        <f t="shared" si="51"/>
        <v>325</v>
      </c>
      <c r="B119" s="89" t="e">
        <f t="shared" si="39"/>
        <v>#N/A</v>
      </c>
      <c r="C119" s="89" t="e">
        <f t="shared" si="40"/>
        <v>#N/A</v>
      </c>
      <c r="D119" s="89" t="e">
        <f t="shared" si="41"/>
        <v>#N/A</v>
      </c>
      <c r="E119" s="89" t="e">
        <f t="shared" si="42"/>
        <v>#N/A</v>
      </c>
      <c r="F119" s="89" t="e">
        <f t="shared" si="43"/>
        <v>#N/A</v>
      </c>
      <c r="G119" s="90" t="e">
        <f t="shared" si="44"/>
        <v>#N/A</v>
      </c>
      <c r="H119" s="89">
        <f t="shared" si="45"/>
        <v>79526.627218934897</v>
      </c>
      <c r="I119" s="89">
        <f t="shared" si="46"/>
        <v>2153846.153846154</v>
      </c>
      <c r="J119" s="89">
        <f t="shared" si="47"/>
        <v>15384.615384615385</v>
      </c>
      <c r="K119" s="89">
        <f t="shared" si="48"/>
        <v>3254824.794882833</v>
      </c>
      <c r="L119" s="89">
        <f t="shared" si="49"/>
        <v>1653.9828965088807</v>
      </c>
      <c r="M119" s="90">
        <f t="shared" si="50"/>
        <v>908.98376278223111</v>
      </c>
    </row>
    <row r="120" spans="1:13" x14ac:dyDescent="0.25">
      <c r="A120" s="32">
        <f t="shared" si="51"/>
        <v>326</v>
      </c>
      <c r="B120" s="89" t="e">
        <f t="shared" si="39"/>
        <v>#N/A</v>
      </c>
      <c r="C120" s="89" t="e">
        <f t="shared" si="40"/>
        <v>#N/A</v>
      </c>
      <c r="D120" s="89" t="e">
        <f t="shared" si="41"/>
        <v>#N/A</v>
      </c>
      <c r="E120" s="89" t="e">
        <f t="shared" si="42"/>
        <v>#N/A</v>
      </c>
      <c r="F120" s="89" t="e">
        <f t="shared" si="43"/>
        <v>#N/A</v>
      </c>
      <c r="G120" s="90" t="e">
        <f t="shared" si="44"/>
        <v>#N/A</v>
      </c>
      <c r="H120" s="89">
        <f t="shared" si="45"/>
        <v>79039.482103202972</v>
      </c>
      <c r="I120" s="89">
        <f t="shared" si="46"/>
        <v>2147239.2638036814</v>
      </c>
      <c r="J120" s="89">
        <f t="shared" si="47"/>
        <v>15337.423312883435</v>
      </c>
      <c r="K120" s="89">
        <f t="shared" si="48"/>
        <v>3244834.694308965</v>
      </c>
      <c r="L120" s="89">
        <f t="shared" si="49"/>
        <v>1648.9062928435899</v>
      </c>
      <c r="M120" s="90">
        <f t="shared" si="50"/>
        <v>906.19380025506712</v>
      </c>
    </row>
    <row r="121" spans="1:13" x14ac:dyDescent="0.25">
      <c r="A121" s="32">
        <f t="shared" si="51"/>
        <v>327</v>
      </c>
      <c r="B121" s="89" t="e">
        <f t="shared" si="39"/>
        <v>#N/A</v>
      </c>
      <c r="C121" s="89" t="e">
        <f t="shared" si="40"/>
        <v>#N/A</v>
      </c>
      <c r="D121" s="89" t="e">
        <f t="shared" si="41"/>
        <v>#N/A</v>
      </c>
      <c r="E121" s="89" t="e">
        <f t="shared" si="42"/>
        <v>#N/A</v>
      </c>
      <c r="F121" s="89" t="e">
        <f t="shared" si="43"/>
        <v>#N/A</v>
      </c>
      <c r="G121" s="90" t="e">
        <f t="shared" si="44"/>
        <v>#N/A</v>
      </c>
      <c r="H121" s="89">
        <f t="shared" si="45"/>
        <v>78556.799371545596</v>
      </c>
      <c r="I121" s="89">
        <f t="shared" si="46"/>
        <v>2140672.7828746182</v>
      </c>
      <c r="J121" s="89">
        <f t="shared" si="47"/>
        <v>15290.519877675841</v>
      </c>
      <c r="K121" s="89">
        <f t="shared" si="48"/>
        <v>3234905.7498260201</v>
      </c>
      <c r="L121" s="89">
        <f t="shared" si="49"/>
        <v>1643.8607664665649</v>
      </c>
      <c r="M121" s="90">
        <f t="shared" si="50"/>
        <v>903.42091695555678</v>
      </c>
    </row>
    <row r="122" spans="1:13" x14ac:dyDescent="0.25">
      <c r="A122" s="32">
        <f t="shared" si="51"/>
        <v>328</v>
      </c>
      <c r="B122" s="89" t="e">
        <f t="shared" si="39"/>
        <v>#N/A</v>
      </c>
      <c r="C122" s="89" t="e">
        <f t="shared" si="40"/>
        <v>#N/A</v>
      </c>
      <c r="D122" s="89" t="e">
        <f t="shared" si="41"/>
        <v>#N/A</v>
      </c>
      <c r="E122" s="89" t="e">
        <f t="shared" si="42"/>
        <v>#N/A</v>
      </c>
      <c r="F122" s="89" t="e">
        <f t="shared" si="43"/>
        <v>#N/A</v>
      </c>
      <c r="G122" s="90" t="e">
        <f t="shared" si="44"/>
        <v>#N/A</v>
      </c>
      <c r="H122" s="89">
        <f t="shared" si="45"/>
        <v>78078.524687685887</v>
      </c>
      <c r="I122" s="89">
        <f t="shared" si="46"/>
        <v>2134146.341463415</v>
      </c>
      <c r="J122" s="89">
        <f t="shared" si="47"/>
        <v>15243.90243902439</v>
      </c>
      <c r="K122" s="89">
        <f t="shared" si="48"/>
        <v>3225037.4014173667</v>
      </c>
      <c r="L122" s="89">
        <f t="shared" si="49"/>
        <v>1638.8460327978387</v>
      </c>
      <c r="M122" s="90">
        <f t="shared" si="50"/>
        <v>900.66495648633372</v>
      </c>
    </row>
    <row r="123" spans="1:13" x14ac:dyDescent="0.25">
      <c r="A123" s="32">
        <f t="shared" si="51"/>
        <v>329</v>
      </c>
      <c r="B123" s="89" t="e">
        <f t="shared" si="39"/>
        <v>#N/A</v>
      </c>
      <c r="C123" s="89" t="e">
        <f t="shared" si="40"/>
        <v>#N/A</v>
      </c>
      <c r="D123" s="89" t="e">
        <f t="shared" si="41"/>
        <v>#N/A</v>
      </c>
      <c r="E123" s="89" t="e">
        <f t="shared" si="42"/>
        <v>#N/A</v>
      </c>
      <c r="F123" s="89" t="e">
        <f t="shared" si="43"/>
        <v>#N/A</v>
      </c>
      <c r="G123" s="90" t="e">
        <f t="shared" si="44"/>
        <v>#N/A</v>
      </c>
      <c r="H123" s="89">
        <f t="shared" si="45"/>
        <v>77604.604539869368</v>
      </c>
      <c r="I123" s="89">
        <f t="shared" si="46"/>
        <v>2127659.5744680851</v>
      </c>
      <c r="J123" s="89">
        <f t="shared" si="47"/>
        <v>15197.568389057749</v>
      </c>
      <c r="K123" s="89">
        <f t="shared" si="48"/>
        <v>3215229.0958851022</v>
      </c>
      <c r="L123" s="89">
        <f t="shared" si="49"/>
        <v>1633.861810722474</v>
      </c>
      <c r="M123" s="90">
        <f t="shared" si="50"/>
        <v>897.92576435431693</v>
      </c>
    </row>
    <row r="124" spans="1:13" x14ac:dyDescent="0.25">
      <c r="A124" s="32">
        <f t="shared" si="51"/>
        <v>330</v>
      </c>
      <c r="B124" s="89" t="e">
        <f t="shared" si="39"/>
        <v>#N/A</v>
      </c>
      <c r="C124" s="89" t="e">
        <f t="shared" si="40"/>
        <v>#N/A</v>
      </c>
      <c r="D124" s="89" t="e">
        <f t="shared" si="41"/>
        <v>#N/A</v>
      </c>
      <c r="E124" s="89" t="e">
        <f t="shared" si="42"/>
        <v>#N/A</v>
      </c>
      <c r="F124" s="89" t="e">
        <f t="shared" si="43"/>
        <v>#N/A</v>
      </c>
      <c r="G124" s="90" t="e">
        <f t="shared" si="44"/>
        <v>#N/A</v>
      </c>
      <c r="H124" s="89">
        <f t="shared" si="45"/>
        <v>77134.986225895307</v>
      </c>
      <c r="I124" s="89">
        <f t="shared" si="46"/>
        <v>2121212.1212121211</v>
      </c>
      <c r="J124" s="89">
        <f t="shared" si="47"/>
        <v>15151.51515151515</v>
      </c>
      <c r="K124" s="89">
        <f t="shared" si="48"/>
        <v>3205480.2867465555</v>
      </c>
      <c r="L124" s="89">
        <f t="shared" si="49"/>
        <v>1628.9078225379685</v>
      </c>
      <c r="M124" s="90">
        <f t="shared" si="50"/>
        <v>895.20318794180673</v>
      </c>
    </row>
    <row r="125" spans="1:13" x14ac:dyDescent="0.25">
      <c r="A125" s="32">
        <f t="shared" si="51"/>
        <v>331</v>
      </c>
      <c r="B125" s="89" t="e">
        <f t="shared" si="39"/>
        <v>#N/A</v>
      </c>
      <c r="C125" s="89" t="e">
        <f t="shared" si="40"/>
        <v>#N/A</v>
      </c>
      <c r="D125" s="89" t="e">
        <f t="shared" si="41"/>
        <v>#N/A</v>
      </c>
      <c r="E125" s="89" t="e">
        <f t="shared" si="42"/>
        <v>#N/A</v>
      </c>
      <c r="F125" s="89" t="e">
        <f t="shared" si="43"/>
        <v>#N/A</v>
      </c>
      <c r="G125" s="90" t="e">
        <f t="shared" si="44"/>
        <v>#N/A</v>
      </c>
      <c r="H125" s="89">
        <f t="shared" si="45"/>
        <v>76669.617838464415</v>
      </c>
      <c r="I125" s="89">
        <f t="shared" si="46"/>
        <v>2114803.6253776434</v>
      </c>
      <c r="J125" s="89">
        <f t="shared" si="47"/>
        <v>15105.740181268882</v>
      </c>
      <c r="K125" s="89">
        <f t="shared" si="48"/>
        <v>3195790.4341326691</v>
      </c>
      <c r="L125" s="89">
        <f t="shared" si="49"/>
        <v>1623.9837939026154</v>
      </c>
      <c r="M125" s="90">
        <f t="shared" si="50"/>
        <v>892.49707647810408</v>
      </c>
    </row>
    <row r="126" spans="1:13" x14ac:dyDescent="0.25">
      <c r="A126" s="32">
        <f t="shared" si="51"/>
        <v>332</v>
      </c>
      <c r="B126" s="89" t="e">
        <f t="shared" si="39"/>
        <v>#N/A</v>
      </c>
      <c r="C126" s="89" t="e">
        <f t="shared" si="40"/>
        <v>#N/A</v>
      </c>
      <c r="D126" s="89" t="e">
        <f t="shared" si="41"/>
        <v>#N/A</v>
      </c>
      <c r="E126" s="89" t="e">
        <f t="shared" si="42"/>
        <v>#N/A</v>
      </c>
      <c r="F126" s="89" t="e">
        <f t="shared" si="43"/>
        <v>#N/A</v>
      </c>
      <c r="G126" s="90" t="e">
        <f t="shared" si="44"/>
        <v>#N/A</v>
      </c>
      <c r="H126" s="89">
        <f t="shared" si="45"/>
        <v>76208.448250834655</v>
      </c>
      <c r="I126" s="89">
        <f t="shared" si="46"/>
        <v>2108433.7349397591</v>
      </c>
      <c r="J126" s="89">
        <f t="shared" si="47"/>
        <v>15060.240963855422</v>
      </c>
      <c r="K126" s="89">
        <f t="shared" si="48"/>
        <v>3186159.0046882289</v>
      </c>
      <c r="L126" s="89">
        <f t="shared" si="49"/>
        <v>1619.089453784806</v>
      </c>
      <c r="M126" s="90">
        <f t="shared" si="50"/>
        <v>889.80728101164982</v>
      </c>
    </row>
    <row r="127" spans="1:13" x14ac:dyDescent="0.25">
      <c r="A127" s="32">
        <f t="shared" si="51"/>
        <v>333</v>
      </c>
      <c r="B127" s="89" t="e">
        <f t="shared" si="39"/>
        <v>#N/A</v>
      </c>
      <c r="C127" s="89" t="e">
        <f t="shared" si="40"/>
        <v>#N/A</v>
      </c>
      <c r="D127" s="89" t="e">
        <f t="shared" si="41"/>
        <v>#N/A</v>
      </c>
      <c r="E127" s="89" t="e">
        <f t="shared" si="42"/>
        <v>#N/A</v>
      </c>
      <c r="F127" s="89" t="e">
        <f t="shared" si="43"/>
        <v>#N/A</v>
      </c>
      <c r="G127" s="90" t="e">
        <f t="shared" si="44"/>
        <v>#N/A</v>
      </c>
      <c r="H127" s="89">
        <f t="shared" si="45"/>
        <v>75751.427102778442</v>
      </c>
      <c r="I127" s="89">
        <f t="shared" si="46"/>
        <v>2102102.1021021022</v>
      </c>
      <c r="J127" s="89">
        <f t="shared" si="47"/>
        <v>15015.015015015015</v>
      </c>
      <c r="K127" s="89">
        <f t="shared" si="48"/>
        <v>3176585.4714738876</v>
      </c>
      <c r="L127" s="89">
        <f t="shared" si="49"/>
        <v>1614.2245344132396</v>
      </c>
      <c r="M127" s="90">
        <f t="shared" si="50"/>
        <v>887.13365438266089</v>
      </c>
    </row>
    <row r="128" spans="1:13" x14ac:dyDescent="0.25">
      <c r="A128" s="32">
        <f t="shared" si="51"/>
        <v>334</v>
      </c>
      <c r="B128" s="89" t="e">
        <f t="shared" si="39"/>
        <v>#N/A</v>
      </c>
      <c r="C128" s="89" t="e">
        <f t="shared" si="40"/>
        <v>#N/A</v>
      </c>
      <c r="D128" s="89" t="e">
        <f t="shared" si="41"/>
        <v>#N/A</v>
      </c>
      <c r="E128" s="89" t="e">
        <f t="shared" si="42"/>
        <v>#N/A</v>
      </c>
      <c r="F128" s="89" t="e">
        <f t="shared" si="43"/>
        <v>#N/A</v>
      </c>
      <c r="G128" s="90" t="e">
        <f t="shared" si="44"/>
        <v>#N/A</v>
      </c>
      <c r="H128" s="89">
        <f t="shared" si="45"/>
        <v>75298.50478683351</v>
      </c>
      <c r="I128" s="89">
        <f t="shared" si="46"/>
        <v>2095808.3832335332</v>
      </c>
      <c r="J128" s="89">
        <f t="shared" si="47"/>
        <v>14970.05988023952</v>
      </c>
      <c r="K128" s="89">
        <f t="shared" si="48"/>
        <v>3167069.3138699541</v>
      </c>
      <c r="L128" s="89">
        <f t="shared" si="49"/>
        <v>1609.3887712280341</v>
      </c>
      <c r="M128" s="90">
        <f t="shared" si="50"/>
        <v>884.47605119626144</v>
      </c>
    </row>
    <row r="129" spans="1:13" x14ac:dyDescent="0.25">
      <c r="A129" s="32">
        <f t="shared" si="51"/>
        <v>335</v>
      </c>
      <c r="B129" s="89" t="e">
        <f t="shared" si="39"/>
        <v>#N/A</v>
      </c>
      <c r="C129" s="89" t="e">
        <f t="shared" si="40"/>
        <v>#N/A</v>
      </c>
      <c r="D129" s="89" t="e">
        <f t="shared" si="41"/>
        <v>#N/A</v>
      </c>
      <c r="E129" s="89" t="e">
        <f t="shared" si="42"/>
        <v>#N/A</v>
      </c>
      <c r="F129" s="89" t="e">
        <f t="shared" si="43"/>
        <v>#N/A</v>
      </c>
      <c r="G129" s="90" t="e">
        <f t="shared" si="44"/>
        <v>#N/A</v>
      </c>
      <c r="H129" s="89">
        <f t="shared" si="45"/>
        <v>74849.632434840707</v>
      </c>
      <c r="I129" s="89">
        <f t="shared" si="46"/>
        <v>2089552.2388059702</v>
      </c>
      <c r="J129" s="89">
        <f t="shared" si="47"/>
        <v>14925.373134328358</v>
      </c>
      <c r="K129" s="89">
        <f t="shared" si="48"/>
        <v>3157610.0174819105</v>
      </c>
      <c r="L129" s="89">
        <f t="shared" si="49"/>
        <v>1604.5819028327121</v>
      </c>
      <c r="M129" s="90">
        <f t="shared" si="50"/>
        <v>881.83432779609745</v>
      </c>
    </row>
    <row r="130" spans="1:13" x14ac:dyDescent="0.25">
      <c r="A130" s="32">
        <f t="shared" si="51"/>
        <v>336</v>
      </c>
      <c r="B130" s="89" t="e">
        <f t="shared" si="39"/>
        <v>#N/A</v>
      </c>
      <c r="C130" s="89" t="e">
        <f t="shared" si="40"/>
        <v>#N/A</v>
      </c>
      <c r="D130" s="89" t="e">
        <f t="shared" si="41"/>
        <v>#N/A</v>
      </c>
      <c r="E130" s="89" t="e">
        <f t="shared" si="42"/>
        <v>#N/A</v>
      </c>
      <c r="F130" s="89" t="e">
        <f t="shared" si="43"/>
        <v>#N/A</v>
      </c>
      <c r="G130" s="90" t="e">
        <f t="shared" si="44"/>
        <v>#N/A</v>
      </c>
      <c r="H130" s="89">
        <f t="shared" si="45"/>
        <v>74404.761904761894</v>
      </c>
      <c r="I130" s="89">
        <f t="shared" si="46"/>
        <v>2083333.3333333333</v>
      </c>
      <c r="J130" s="89">
        <f t="shared" si="47"/>
        <v>14880.95238095238</v>
      </c>
      <c r="K130" s="89">
        <f t="shared" si="48"/>
        <v>3148207.0740476195</v>
      </c>
      <c r="L130" s="89">
        <f t="shared" si="49"/>
        <v>1599.8036709470484</v>
      </c>
      <c r="M130" s="90">
        <f t="shared" si="50"/>
        <v>879.20834223842064</v>
      </c>
    </row>
    <row r="131" spans="1:13" x14ac:dyDescent="0.25">
      <c r="A131" s="32">
        <f t="shared" si="51"/>
        <v>337</v>
      </c>
      <c r="B131" s="89" t="e">
        <f t="shared" si="39"/>
        <v>#N/A</v>
      </c>
      <c r="C131" s="89" t="e">
        <f t="shared" si="40"/>
        <v>#N/A</v>
      </c>
      <c r="D131" s="89" t="e">
        <f t="shared" si="41"/>
        <v>#N/A</v>
      </c>
      <c r="E131" s="89" t="e">
        <f t="shared" si="42"/>
        <v>#N/A</v>
      </c>
      <c r="F131" s="89" t="e">
        <f t="shared" si="43"/>
        <v>#N/A</v>
      </c>
      <c r="G131" s="90" t="e">
        <f t="shared" si="44"/>
        <v>#N/A</v>
      </c>
      <c r="H131" s="89">
        <f t="shared" si="45"/>
        <v>73963.845767771127</v>
      </c>
      <c r="I131" s="89">
        <f t="shared" si="46"/>
        <v>2077151.3353115728</v>
      </c>
      <c r="J131" s="89">
        <f t="shared" si="47"/>
        <v>14836.795252225518</v>
      </c>
      <c r="K131" s="89">
        <f t="shared" si="48"/>
        <v>3138859.9813461863</v>
      </c>
      <c r="L131" s="89">
        <f t="shared" si="49"/>
        <v>1595.0538203607562</v>
      </c>
      <c r="M131" s="90">
        <f t="shared" si="50"/>
        <v>876.59795426663777</v>
      </c>
    </row>
    <row r="132" spans="1:13" x14ac:dyDescent="0.25">
      <c r="A132" s="32">
        <f t="shared" si="51"/>
        <v>338</v>
      </c>
      <c r="B132" s="89" t="e">
        <f t="shared" ref="B132:B151" si="52">IF(Load_Case=1,(6*FL_SUS*H_Trunnion)/(A132*0.001)^2,NA())</f>
        <v>#N/A</v>
      </c>
      <c r="C132" s="89" t="e">
        <f t="shared" ref="C132:C151" si="53">IF(Load_Case=1,(6*FC_SUS*H_STRA)/(A132*t_STRA*0.000001),NA())</f>
        <v>#N/A</v>
      </c>
      <c r="D132" s="89" t="e">
        <f t="shared" ref="D132:D151" si="54">IF(Load_Case=1,FA_SUS*1000/(A132*0.001),NA())</f>
        <v>#N/A</v>
      </c>
      <c r="E132" s="89" t="e">
        <f t="shared" ref="E132:E151" si="55">1.5*D132+SQRT((B132^2+(1.5*C132)^2))</f>
        <v>#N/A</v>
      </c>
      <c r="F132" s="89" t="e">
        <f t="shared" ref="F132:F151" si="56">IF(SL_STRA,(1.17*E132*SQRT(0.5*D*0.001))*0.000001/((tnet_STRA*0.001)^1.5),NA())</f>
        <v>#N/A</v>
      </c>
      <c r="G132" s="90" t="e">
        <f t="shared" ref="G132:G151" si="57">IF(SC_STRA,(0.643*E132*SQRT((D*0.5)*0.001))*0.000001/((tnet_STRA*0.001)^1.5),NA())</f>
        <v>#N/A</v>
      </c>
      <c r="H132" s="89">
        <f t="shared" ref="H132:H151" si="58">IF(Load_Case=2,(6*FL_EXP*H_Trunnion)/(A132*0.001)^2,NA())</f>
        <v>73526.837295612888</v>
      </c>
      <c r="I132" s="89">
        <f t="shared" ref="I132:I151" si="59">IF(Load_Case=2,(6*FC_EXP*H_STRA)/(A132*t_STRA*0.000001),NA())</f>
        <v>2071005.9171597634</v>
      </c>
      <c r="J132" s="89">
        <f t="shared" ref="J132:J151" si="60">IF(Load_Case=2,FA_EXP*1000/(A132*0.001),NA())</f>
        <v>14792.899408284022</v>
      </c>
      <c r="K132" s="89">
        <f t="shared" ref="K132:K151" si="61">1.5*J132+SQRT((H132^2+(1.5*I132)^2))</f>
        <v>3129568.2431084397</v>
      </c>
      <c r="L132" s="89">
        <f t="shared" ref="L132:L151" si="62">IF(SL_STRA,(1.17*K132*SQRT(0.5*D*0.001))*0.000001/((tnet_STRA*0.001)^1.5),NA())</f>
        <v>1590.3320988879957</v>
      </c>
      <c r="M132" s="90">
        <f t="shared" ref="M132:M151" si="63">IF(SC_STRA,(0.643*K132*SQRT((D*0.5)*0.001))*0.000001/((tnet_STRA*0.001)^1.5),NA())</f>
        <v>874.0030252863088</v>
      </c>
    </row>
    <row r="133" spans="1:13" x14ac:dyDescent="0.25">
      <c r="A133" s="32">
        <f t="shared" ref="A133:A151" si="64">IF((A132+L_STRA_Increment)&gt;Max_STRA_L,NA(),A132+L_STRA_Increment)</f>
        <v>339</v>
      </c>
      <c r="B133" s="89" t="e">
        <f t="shared" si="52"/>
        <v>#N/A</v>
      </c>
      <c r="C133" s="89" t="e">
        <f t="shared" si="53"/>
        <v>#N/A</v>
      </c>
      <c r="D133" s="89" t="e">
        <f t="shared" si="54"/>
        <v>#N/A</v>
      </c>
      <c r="E133" s="89" t="e">
        <f t="shared" si="55"/>
        <v>#N/A</v>
      </c>
      <c r="F133" s="89" t="e">
        <f t="shared" si="56"/>
        <v>#N/A</v>
      </c>
      <c r="G133" s="90" t="e">
        <f t="shared" si="57"/>
        <v>#N/A</v>
      </c>
      <c r="H133" s="89">
        <f t="shared" si="58"/>
        <v>73093.69044822095</v>
      </c>
      <c r="I133" s="89">
        <f t="shared" si="59"/>
        <v>2064896.7551622421</v>
      </c>
      <c r="J133" s="89">
        <f t="shared" si="60"/>
        <v>14749.262536873155</v>
      </c>
      <c r="K133" s="89">
        <f t="shared" si="61"/>
        <v>3120331.3689290048</v>
      </c>
      <c r="L133" s="89">
        <f t="shared" si="62"/>
        <v>1585.6382573226958</v>
      </c>
      <c r="M133" s="90">
        <f t="shared" si="63"/>
        <v>871.42341834059266</v>
      </c>
    </row>
    <row r="134" spans="1:13" x14ac:dyDescent="0.25">
      <c r="A134" s="32">
        <f t="shared" si="64"/>
        <v>340</v>
      </c>
      <c r="B134" s="89" t="e">
        <f t="shared" si="52"/>
        <v>#N/A</v>
      </c>
      <c r="C134" s="89" t="e">
        <f t="shared" si="53"/>
        <v>#N/A</v>
      </c>
      <c r="D134" s="89" t="e">
        <f t="shared" si="54"/>
        <v>#N/A</v>
      </c>
      <c r="E134" s="89" t="e">
        <f t="shared" si="55"/>
        <v>#N/A</v>
      </c>
      <c r="F134" s="89" t="e">
        <f t="shared" si="56"/>
        <v>#N/A</v>
      </c>
      <c r="G134" s="90" t="e">
        <f t="shared" si="57"/>
        <v>#N/A</v>
      </c>
      <c r="H134" s="89">
        <f t="shared" si="58"/>
        <v>72664.359861591685</v>
      </c>
      <c r="I134" s="89">
        <f t="shared" si="59"/>
        <v>2058823.529411765</v>
      </c>
      <c r="J134" s="89">
        <f t="shared" si="60"/>
        <v>14705.882352941175</v>
      </c>
      <c r="K134" s="89">
        <f t="shared" si="61"/>
        <v>3111148.8741799281</v>
      </c>
      <c r="L134" s="89">
        <f t="shared" si="62"/>
        <v>1580.9720493946584</v>
      </c>
      <c r="M134" s="90">
        <f t="shared" si="63"/>
        <v>868.85899808612419</v>
      </c>
    </row>
    <row r="135" spans="1:13" x14ac:dyDescent="0.25">
      <c r="A135" s="32">
        <f t="shared" si="64"/>
        <v>341</v>
      </c>
      <c r="B135" s="89" t="e">
        <f t="shared" si="52"/>
        <v>#N/A</v>
      </c>
      <c r="C135" s="89" t="e">
        <f t="shared" si="53"/>
        <v>#N/A</v>
      </c>
      <c r="D135" s="89" t="e">
        <f t="shared" si="54"/>
        <v>#N/A</v>
      </c>
      <c r="E135" s="89" t="e">
        <f t="shared" si="55"/>
        <v>#N/A</v>
      </c>
      <c r="F135" s="89" t="e">
        <f t="shared" si="56"/>
        <v>#N/A</v>
      </c>
      <c r="G135" s="90" t="e">
        <f t="shared" si="57"/>
        <v>#N/A</v>
      </c>
      <c r="H135" s="89">
        <f t="shared" si="58"/>
        <v>72238.800835906106</v>
      </c>
      <c r="I135" s="89">
        <f t="shared" si="59"/>
        <v>2052785.9237536655</v>
      </c>
      <c r="J135" s="89">
        <f t="shared" si="60"/>
        <v>14662.756598240469</v>
      </c>
      <c r="K135" s="89">
        <f t="shared" si="61"/>
        <v>3102020.2799258218</v>
      </c>
      <c r="L135" s="89">
        <f t="shared" si="62"/>
        <v>1576.3332317264387</v>
      </c>
      <c r="M135" s="90">
        <f t="shared" si="63"/>
        <v>866.30963076931664</v>
      </c>
    </row>
    <row r="136" spans="1:13" x14ac:dyDescent="0.25">
      <c r="A136" s="32">
        <f t="shared" si="64"/>
        <v>342</v>
      </c>
      <c r="B136" s="89" t="e">
        <f t="shared" si="52"/>
        <v>#N/A</v>
      </c>
      <c r="C136" s="89" t="e">
        <f t="shared" si="53"/>
        <v>#N/A</v>
      </c>
      <c r="D136" s="89" t="e">
        <f t="shared" si="54"/>
        <v>#N/A</v>
      </c>
      <c r="E136" s="89" t="e">
        <f t="shared" si="55"/>
        <v>#N/A</v>
      </c>
      <c r="F136" s="89" t="e">
        <f t="shared" si="56"/>
        <v>#N/A</v>
      </c>
      <c r="G136" s="90" t="e">
        <f t="shared" si="57"/>
        <v>#N/A</v>
      </c>
      <c r="H136" s="89">
        <f t="shared" si="58"/>
        <v>71816.969323894518</v>
      </c>
      <c r="I136" s="89">
        <f t="shared" si="59"/>
        <v>2046783.6257309942</v>
      </c>
      <c r="J136" s="89">
        <f t="shared" si="60"/>
        <v>14619.883040935671</v>
      </c>
      <c r="K136" s="89">
        <f t="shared" si="61"/>
        <v>3092945.1128405142</v>
      </c>
      <c r="L136" s="89">
        <f t="shared" si="62"/>
        <v>1571.7215637909919</v>
      </c>
      <c r="M136" s="90">
        <f t="shared" si="63"/>
        <v>863.77518420308377</v>
      </c>
    </row>
    <row r="137" spans="1:13" x14ac:dyDescent="0.25">
      <c r="A137" s="32">
        <f t="shared" si="64"/>
        <v>343</v>
      </c>
      <c r="B137" s="89" t="e">
        <f t="shared" si="52"/>
        <v>#N/A</v>
      </c>
      <c r="C137" s="89" t="e">
        <f t="shared" si="53"/>
        <v>#N/A</v>
      </c>
      <c r="D137" s="89" t="e">
        <f t="shared" si="54"/>
        <v>#N/A</v>
      </c>
      <c r="E137" s="89" t="e">
        <f t="shared" si="55"/>
        <v>#N/A</v>
      </c>
      <c r="F137" s="89" t="e">
        <f t="shared" si="56"/>
        <v>#N/A</v>
      </c>
      <c r="G137" s="90" t="e">
        <f t="shared" si="57"/>
        <v>#N/A</v>
      </c>
      <c r="H137" s="89">
        <f t="shared" si="58"/>
        <v>71398.821919438313</v>
      </c>
      <c r="I137" s="89">
        <f t="shared" si="59"/>
        <v>2040816.3265306123</v>
      </c>
      <c r="J137" s="89">
        <f t="shared" si="60"/>
        <v>14577.259475218658</v>
      </c>
      <c r="K137" s="89">
        <f t="shared" si="61"/>
        <v>3083922.9051251323</v>
      </c>
      <c r="L137" s="89">
        <f t="shared" si="62"/>
        <v>1567.1368078700425</v>
      </c>
      <c r="M137" s="90">
        <f t="shared" si="63"/>
        <v>861.25552774396363</v>
      </c>
    </row>
    <row r="138" spans="1:13" x14ac:dyDescent="0.25">
      <c r="A138" s="32">
        <f t="shared" si="64"/>
        <v>344</v>
      </c>
      <c r="B138" s="89" t="e">
        <f t="shared" si="52"/>
        <v>#N/A</v>
      </c>
      <c r="C138" s="89" t="e">
        <f t="shared" si="53"/>
        <v>#N/A</v>
      </c>
      <c r="D138" s="89" t="e">
        <f t="shared" si="54"/>
        <v>#N/A</v>
      </c>
      <c r="E138" s="89" t="e">
        <f t="shared" si="55"/>
        <v>#N/A</v>
      </c>
      <c r="F138" s="89" t="e">
        <f t="shared" si="56"/>
        <v>#N/A</v>
      </c>
      <c r="G138" s="90" t="e">
        <f t="shared" si="57"/>
        <v>#N/A</v>
      </c>
      <c r="H138" s="89">
        <f t="shared" si="58"/>
        <v>70984.31584640345</v>
      </c>
      <c r="I138" s="89">
        <f t="shared" si="59"/>
        <v>2034883.7209302327</v>
      </c>
      <c r="J138" s="89">
        <f t="shared" si="60"/>
        <v>14534.883720930231</v>
      </c>
      <c r="K138" s="89">
        <f t="shared" si="61"/>
        <v>3074953.1944276495</v>
      </c>
      <c r="L138" s="89">
        <f t="shared" si="62"/>
        <v>1562.5787290132039</v>
      </c>
      <c r="M138" s="90">
        <f t="shared" si="63"/>
        <v>858.75053226964974</v>
      </c>
    </row>
    <row r="139" spans="1:13" x14ac:dyDescent="0.25">
      <c r="A139" s="32">
        <f t="shared" si="64"/>
        <v>345</v>
      </c>
      <c r="B139" s="89" t="e">
        <f t="shared" si="52"/>
        <v>#N/A</v>
      </c>
      <c r="C139" s="89" t="e">
        <f t="shared" si="53"/>
        <v>#N/A</v>
      </c>
      <c r="D139" s="89" t="e">
        <f t="shared" si="54"/>
        <v>#N/A</v>
      </c>
      <c r="E139" s="89" t="e">
        <f t="shared" si="55"/>
        <v>#N/A</v>
      </c>
      <c r="F139" s="89" t="e">
        <f t="shared" si="56"/>
        <v>#N/A</v>
      </c>
      <c r="G139" s="90" t="e">
        <f t="shared" si="57"/>
        <v>#N/A</v>
      </c>
      <c r="H139" s="89">
        <f t="shared" si="58"/>
        <v>70573.408947700053</v>
      </c>
      <c r="I139" s="89">
        <f t="shared" si="59"/>
        <v>2028985.5072463769</v>
      </c>
      <c r="J139" s="89">
        <f t="shared" si="60"/>
        <v>14492.753623188404</v>
      </c>
      <c r="K139" s="89">
        <f t="shared" si="61"/>
        <v>3066035.5237638117</v>
      </c>
      <c r="L139" s="89">
        <f t="shared" si="62"/>
        <v>1558.0470949977953</v>
      </c>
      <c r="M139" s="90">
        <f t="shared" si="63"/>
        <v>856.26007015690811</v>
      </c>
    </row>
    <row r="140" spans="1:13" x14ac:dyDescent="0.25">
      <c r="A140" s="32">
        <f t="shared" si="64"/>
        <v>346</v>
      </c>
      <c r="B140" s="89" t="e">
        <f t="shared" si="52"/>
        <v>#N/A</v>
      </c>
      <c r="C140" s="89" t="e">
        <f t="shared" si="53"/>
        <v>#N/A</v>
      </c>
      <c r="D140" s="89" t="e">
        <f t="shared" si="54"/>
        <v>#N/A</v>
      </c>
      <c r="E140" s="89" t="e">
        <f t="shared" si="55"/>
        <v>#N/A</v>
      </c>
      <c r="F140" s="89" t="e">
        <f t="shared" si="56"/>
        <v>#N/A</v>
      </c>
      <c r="G140" s="90" t="e">
        <f t="shared" si="57"/>
        <v>#N/A</v>
      </c>
      <c r="H140" s="89">
        <f t="shared" si="58"/>
        <v>70166.059674563119</v>
      </c>
      <c r="I140" s="89">
        <f t="shared" si="59"/>
        <v>2023121.3872832372</v>
      </c>
      <c r="J140" s="89">
        <f t="shared" si="60"/>
        <v>14450.867052023121</v>
      </c>
      <c r="K140" s="89">
        <f t="shared" si="61"/>
        <v>3057169.4414394442</v>
      </c>
      <c r="L140" s="89">
        <f t="shared" si="62"/>
        <v>1553.5416762893601</v>
      </c>
      <c r="M140" s="90">
        <f t="shared" si="63"/>
        <v>853.78401525987908</v>
      </c>
    </row>
    <row r="141" spans="1:13" x14ac:dyDescent="0.25">
      <c r="A141" s="32">
        <f t="shared" si="64"/>
        <v>347</v>
      </c>
      <c r="B141" s="89" t="e">
        <f t="shared" si="52"/>
        <v>#N/A</v>
      </c>
      <c r="C141" s="89" t="e">
        <f t="shared" si="53"/>
        <v>#N/A</v>
      </c>
      <c r="D141" s="89" t="e">
        <f t="shared" si="54"/>
        <v>#N/A</v>
      </c>
      <c r="E141" s="89" t="e">
        <f t="shared" si="55"/>
        <v>#N/A</v>
      </c>
      <c r="F141" s="89" t="e">
        <f t="shared" si="56"/>
        <v>#N/A</v>
      </c>
      <c r="G141" s="90" t="e">
        <f t="shared" si="57"/>
        <v>#N/A</v>
      </c>
      <c r="H141" s="89">
        <f t="shared" si="58"/>
        <v>69762.227076049123</v>
      </c>
      <c r="I141" s="89">
        <f t="shared" si="59"/>
        <v>2017291.0662824207</v>
      </c>
      <c r="J141" s="89">
        <f t="shared" si="60"/>
        <v>14409.221902017291</v>
      </c>
      <c r="K141" s="89">
        <f t="shared" si="61"/>
        <v>3048354.5009741085</v>
      </c>
      <c r="L141" s="89">
        <f t="shared" si="62"/>
        <v>1549.0622460028721</v>
      </c>
      <c r="M141" s="90">
        <f t="shared" si="63"/>
        <v>851.32224288875818</v>
      </c>
    </row>
    <row r="142" spans="1:13" x14ac:dyDescent="0.25">
      <c r="A142" s="32">
        <f t="shared" si="64"/>
        <v>348</v>
      </c>
      <c r="B142" s="89" t="e">
        <f t="shared" si="52"/>
        <v>#N/A</v>
      </c>
      <c r="C142" s="89" t="e">
        <f t="shared" si="53"/>
        <v>#N/A</v>
      </c>
      <c r="D142" s="89" t="e">
        <f t="shared" si="54"/>
        <v>#N/A</v>
      </c>
      <c r="E142" s="89" t="e">
        <f t="shared" si="55"/>
        <v>#N/A</v>
      </c>
      <c r="F142" s="89" t="e">
        <f t="shared" si="56"/>
        <v>#N/A</v>
      </c>
      <c r="G142" s="90" t="e">
        <f t="shared" si="57"/>
        <v>#N/A</v>
      </c>
      <c r="H142" s="89">
        <f t="shared" si="58"/>
        <v>69361.870788743545</v>
      </c>
      <c r="I142" s="89">
        <f t="shared" si="59"/>
        <v>2011494.2528735632</v>
      </c>
      <c r="J142" s="89">
        <f t="shared" si="60"/>
        <v>14367.816091954022</v>
      </c>
      <c r="K142" s="89">
        <f t="shared" si="61"/>
        <v>3039590.2610260714</v>
      </c>
      <c r="L142" s="89">
        <f t="shared" si="62"/>
        <v>1544.6085798646077</v>
      </c>
      <c r="M142" s="90">
        <f t="shared" si="63"/>
        <v>848.87462978884025</v>
      </c>
    </row>
    <row r="143" spans="1:13" x14ac:dyDescent="0.25">
      <c r="A143" s="32">
        <f t="shared" si="64"/>
        <v>349</v>
      </c>
      <c r="B143" s="89" t="e">
        <f t="shared" si="52"/>
        <v>#N/A</v>
      </c>
      <c r="C143" s="89" t="e">
        <f t="shared" si="53"/>
        <v>#N/A</v>
      </c>
      <c r="D143" s="89" t="e">
        <f t="shared" si="54"/>
        <v>#N/A</v>
      </c>
      <c r="E143" s="89" t="e">
        <f t="shared" si="55"/>
        <v>#N/A</v>
      </c>
      <c r="F143" s="89" t="e">
        <f t="shared" si="56"/>
        <v>#N/A</v>
      </c>
      <c r="G143" s="90" t="e">
        <f t="shared" si="57"/>
        <v>#N/A</v>
      </c>
      <c r="H143" s="89">
        <f t="shared" si="58"/>
        <v>68964.951026674651</v>
      </c>
      <c r="I143" s="89">
        <f t="shared" si="59"/>
        <v>2005730.6590257881</v>
      </c>
      <c r="J143" s="89">
        <f t="shared" si="60"/>
        <v>14326.647564469913</v>
      </c>
      <c r="K143" s="89">
        <f t="shared" si="61"/>
        <v>3030876.2853185683</v>
      </c>
      <c r="L143" s="89">
        <f t="shared" si="62"/>
        <v>1540.1804561746744</v>
      </c>
      <c r="M143" s="90">
        <f t="shared" si="63"/>
        <v>846.4410541199278</v>
      </c>
    </row>
    <row r="144" spans="1:13" x14ac:dyDescent="0.25">
      <c r="A144" s="32">
        <f t="shared" si="64"/>
        <v>350</v>
      </c>
      <c r="B144" s="89" t="e">
        <f t="shared" si="52"/>
        <v>#N/A</v>
      </c>
      <c r="C144" s="89" t="e">
        <f t="shared" si="53"/>
        <v>#N/A</v>
      </c>
      <c r="D144" s="89" t="e">
        <f t="shared" si="54"/>
        <v>#N/A</v>
      </c>
      <c r="E144" s="89" t="e">
        <f t="shared" si="55"/>
        <v>#N/A</v>
      </c>
      <c r="F144" s="89" t="e">
        <f t="shared" si="56"/>
        <v>#N/A</v>
      </c>
      <c r="G144" s="90" t="e">
        <f t="shared" si="57"/>
        <v>#N/A</v>
      </c>
      <c r="H144" s="89">
        <f t="shared" si="58"/>
        <v>68571.428571428551</v>
      </c>
      <c r="I144" s="89">
        <f t="shared" si="59"/>
        <v>2000000.0000000002</v>
      </c>
      <c r="J144" s="89">
        <f t="shared" si="60"/>
        <v>14285.714285714284</v>
      </c>
      <c r="K144" s="89">
        <f t="shared" si="61"/>
        <v>3022212.142567338</v>
      </c>
      <c r="L144" s="89">
        <f t="shared" si="62"/>
        <v>1535.7776557701866</v>
      </c>
      <c r="M144" s="90">
        <f t="shared" si="63"/>
        <v>844.02139543609405</v>
      </c>
    </row>
    <row r="145" spans="1:13" x14ac:dyDescent="0.25">
      <c r="A145" s="94">
        <f t="shared" si="64"/>
        <v>351</v>
      </c>
      <c r="B145" s="95" t="e">
        <f t="shared" si="52"/>
        <v>#N/A</v>
      </c>
      <c r="C145" s="95" t="e">
        <f t="shared" si="53"/>
        <v>#N/A</v>
      </c>
      <c r="D145" s="95" t="e">
        <f t="shared" si="54"/>
        <v>#N/A</v>
      </c>
      <c r="E145" s="95" t="e">
        <f t="shared" si="55"/>
        <v>#N/A</v>
      </c>
      <c r="F145" s="95" t="e">
        <f t="shared" si="56"/>
        <v>#N/A</v>
      </c>
      <c r="G145" s="96" t="e">
        <f t="shared" si="57"/>
        <v>#N/A</v>
      </c>
      <c r="H145" s="95">
        <f t="shared" si="58"/>
        <v>68181.264762461331</v>
      </c>
      <c r="I145" s="95">
        <f t="shared" si="59"/>
        <v>1994301.9943019946</v>
      </c>
      <c r="J145" s="95">
        <f t="shared" si="60"/>
        <v>14245.014245014243</v>
      </c>
      <c r="K145" s="95">
        <f t="shared" si="61"/>
        <v>3013597.4064093884</v>
      </c>
      <c r="L145" s="95">
        <f t="shared" si="62"/>
        <v>1531.3999619890694</v>
      </c>
      <c r="M145" s="96">
        <f t="shared" si="63"/>
        <v>841.61553466578766</v>
      </c>
    </row>
    <row r="146" spans="1:13" x14ac:dyDescent="0.25">
      <c r="A146" s="32">
        <f t="shared" si="64"/>
        <v>352</v>
      </c>
      <c r="B146" s="89" t="e">
        <f t="shared" si="52"/>
        <v>#N/A</v>
      </c>
      <c r="C146" s="89" t="e">
        <f t="shared" si="53"/>
        <v>#N/A</v>
      </c>
      <c r="D146" s="89" t="e">
        <f t="shared" si="54"/>
        <v>#N/A</v>
      </c>
      <c r="E146" s="89" t="e">
        <f t="shared" si="55"/>
        <v>#N/A</v>
      </c>
      <c r="F146" s="89" t="e">
        <f t="shared" si="56"/>
        <v>#N/A</v>
      </c>
      <c r="G146" s="90" t="e">
        <f t="shared" si="57"/>
        <v>#N/A</v>
      </c>
      <c r="H146" s="89">
        <f t="shared" si="58"/>
        <v>67794.421487603307</v>
      </c>
      <c r="I146" s="89">
        <f t="shared" si="59"/>
        <v>1988636.363636364</v>
      </c>
      <c r="J146" s="89">
        <f t="shared" si="60"/>
        <v>14204.545454545456</v>
      </c>
      <c r="K146" s="89">
        <f t="shared" si="61"/>
        <v>3005031.6553329881</v>
      </c>
      <c r="L146" s="89">
        <f t="shared" si="62"/>
        <v>1527.0471606344795</v>
      </c>
      <c r="M146" s="90">
        <f t="shared" si="63"/>
        <v>839.22335409228242</v>
      </c>
    </row>
    <row r="147" spans="1:13" x14ac:dyDescent="0.25">
      <c r="A147" s="32">
        <f t="shared" si="64"/>
        <v>353</v>
      </c>
      <c r="B147" s="89" t="e">
        <f t="shared" si="52"/>
        <v>#N/A</v>
      </c>
      <c r="C147" s="89" t="e">
        <f t="shared" si="53"/>
        <v>#N/A</v>
      </c>
      <c r="D147" s="89" t="e">
        <f t="shared" si="54"/>
        <v>#N/A</v>
      </c>
      <c r="E147" s="89" t="e">
        <f t="shared" si="55"/>
        <v>#N/A</v>
      </c>
      <c r="F147" s="89" t="e">
        <f t="shared" si="56"/>
        <v>#N/A</v>
      </c>
      <c r="G147" s="90" t="e">
        <f t="shared" si="57"/>
        <v>#N/A</v>
      </c>
      <c r="H147" s="89">
        <f t="shared" si="58"/>
        <v>67410.861173751502</v>
      </c>
      <c r="I147" s="89">
        <f t="shared" si="59"/>
        <v>1983002.8328611897</v>
      </c>
      <c r="J147" s="89">
        <f t="shared" si="60"/>
        <v>14164.3059490085</v>
      </c>
      <c r="K147" s="89">
        <f t="shared" si="61"/>
        <v>2996514.4726088461</v>
      </c>
      <c r="L147" s="89">
        <f t="shared" si="62"/>
        <v>1522.719039939836</v>
      </c>
      <c r="M147" s="90">
        <f t="shared" si="63"/>
        <v>836.84473733445691</v>
      </c>
    </row>
    <row r="148" spans="1:13" x14ac:dyDescent="0.25">
      <c r="A148" s="32">
        <f t="shared" si="64"/>
        <v>354</v>
      </c>
      <c r="B148" s="89" t="e">
        <f t="shared" si="52"/>
        <v>#N/A</v>
      </c>
      <c r="C148" s="89" t="e">
        <f t="shared" si="53"/>
        <v>#N/A</v>
      </c>
      <c r="D148" s="89" t="e">
        <f t="shared" si="54"/>
        <v>#N/A</v>
      </c>
      <c r="E148" s="89" t="e">
        <f t="shared" si="55"/>
        <v>#N/A</v>
      </c>
      <c r="F148" s="89" t="e">
        <f t="shared" si="56"/>
        <v>#N/A</v>
      </c>
      <c r="G148" s="90" t="e">
        <f t="shared" si="57"/>
        <v>#N/A</v>
      </c>
      <c r="H148" s="89">
        <f t="shared" si="58"/>
        <v>67030.546777745869</v>
      </c>
      <c r="I148" s="89">
        <f t="shared" si="59"/>
        <v>1977401.1299435028</v>
      </c>
      <c r="J148" s="89">
        <f t="shared" si="60"/>
        <v>14124.293785310736</v>
      </c>
      <c r="K148" s="89">
        <f t="shared" si="61"/>
        <v>2988045.4462224604</v>
      </c>
      <c r="L148" s="89">
        <f t="shared" si="62"/>
        <v>1518.4153905344403</v>
      </c>
      <c r="M148" s="90">
        <f t="shared" si="63"/>
        <v>834.4795693279018</v>
      </c>
    </row>
    <row r="149" spans="1:13" x14ac:dyDescent="0.25">
      <c r="A149" s="32">
        <f t="shared" si="64"/>
        <v>355</v>
      </c>
      <c r="B149" s="89" t="e">
        <f t="shared" si="52"/>
        <v>#N/A</v>
      </c>
      <c r="C149" s="89" t="e">
        <f t="shared" si="53"/>
        <v>#N/A</v>
      </c>
      <c r="D149" s="89" t="e">
        <f t="shared" si="54"/>
        <v>#N/A</v>
      </c>
      <c r="E149" s="89" t="e">
        <f t="shared" si="55"/>
        <v>#N/A</v>
      </c>
      <c r="F149" s="89" t="e">
        <f t="shared" si="56"/>
        <v>#N/A</v>
      </c>
      <c r="G149" s="90" t="e">
        <f t="shared" si="57"/>
        <v>#N/A</v>
      </c>
      <c r="H149" s="89">
        <f t="shared" si="58"/>
        <v>66653.44177742512</v>
      </c>
      <c r="I149" s="89">
        <f t="shared" si="59"/>
        <v>1971830.985915493</v>
      </c>
      <c r="J149" s="89">
        <f t="shared" si="60"/>
        <v>14084.507042253523</v>
      </c>
      <c r="K149" s="89">
        <f t="shared" si="61"/>
        <v>2979624.1688076095</v>
      </c>
      <c r="L149" s="89">
        <f t="shared" si="62"/>
        <v>1514.1360054096808</v>
      </c>
      <c r="M149" s="90">
        <f t="shared" si="63"/>
        <v>832.12773630634592</v>
      </c>
    </row>
    <row r="150" spans="1:13" x14ac:dyDescent="0.25">
      <c r="A150" s="32">
        <f t="shared" si="64"/>
        <v>356</v>
      </c>
      <c r="B150" s="89" t="e">
        <f t="shared" si="52"/>
        <v>#N/A</v>
      </c>
      <c r="C150" s="89" t="e">
        <f t="shared" si="53"/>
        <v>#N/A</v>
      </c>
      <c r="D150" s="89" t="e">
        <f t="shared" si="54"/>
        <v>#N/A</v>
      </c>
      <c r="E150" s="89" t="e">
        <f t="shared" si="55"/>
        <v>#N/A</v>
      </c>
      <c r="F150" s="89" t="e">
        <f t="shared" si="56"/>
        <v>#N/A</v>
      </c>
      <c r="G150" s="90" t="e">
        <f t="shared" si="57"/>
        <v>#N/A</v>
      </c>
      <c r="H150" s="89">
        <f t="shared" si="58"/>
        <v>66279.510162858234</v>
      </c>
      <c r="I150" s="89">
        <f t="shared" si="59"/>
        <v>1966292.1348314609</v>
      </c>
      <c r="J150" s="89">
        <f t="shared" si="60"/>
        <v>14044.94382022472</v>
      </c>
      <c r="K150" s="89">
        <f t="shared" si="61"/>
        <v>2971250.2375809718</v>
      </c>
      <c r="L150" s="89">
        <f t="shared" si="62"/>
        <v>1509.8806798858075</v>
      </c>
      <c r="M150" s="90">
        <f t="shared" si="63"/>
        <v>829.7891257833968</v>
      </c>
    </row>
    <row r="151" spans="1:13" x14ac:dyDescent="0.25">
      <c r="A151" s="32">
        <f t="shared" si="64"/>
        <v>357</v>
      </c>
      <c r="B151" s="89" t="e">
        <f t="shared" si="52"/>
        <v>#N/A</v>
      </c>
      <c r="C151" s="89" t="e">
        <f t="shared" si="53"/>
        <v>#N/A</v>
      </c>
      <c r="D151" s="89" t="e">
        <f t="shared" si="54"/>
        <v>#N/A</v>
      </c>
      <c r="E151" s="89" t="e">
        <f t="shared" si="55"/>
        <v>#N/A</v>
      </c>
      <c r="F151" s="89" t="e">
        <f t="shared" si="56"/>
        <v>#N/A</v>
      </c>
      <c r="G151" s="90" t="e">
        <f t="shared" si="57"/>
        <v>#N/A</v>
      </c>
      <c r="H151" s="89">
        <f t="shared" si="58"/>
        <v>65908.716427747582</v>
      </c>
      <c r="I151" s="89">
        <f t="shared" si="59"/>
        <v>1960784.3137254904</v>
      </c>
      <c r="J151" s="89">
        <f t="shared" si="60"/>
        <v>14005.60224089636</v>
      </c>
      <c r="K151" s="89">
        <f t="shared" si="61"/>
        <v>2962923.2542778398</v>
      </c>
      <c r="L151" s="89">
        <f t="shared" si="62"/>
        <v>1505.6492115792651</v>
      </c>
      <c r="M151" s="90">
        <f t="shared" si="63"/>
        <v>827.46362653458755</v>
      </c>
    </row>
  </sheetData>
  <mergeCells count="2">
    <mergeCell ref="H2:M2"/>
    <mergeCell ref="E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1"/>
  <sheetViews>
    <sheetView workbookViewId="0">
      <selection activeCell="G158" sqref="G158:G160"/>
    </sheetView>
  </sheetViews>
  <sheetFormatPr defaultRowHeight="15" x14ac:dyDescent="0.25"/>
  <sheetData>
    <row r="1" spans="1:13" ht="15.75" thickBot="1" x14ac:dyDescent="0.3">
      <c r="A1" s="33" t="s">
        <v>44</v>
      </c>
      <c r="B1" s="33" t="s">
        <v>68</v>
      </c>
      <c r="C1" s="149"/>
      <c r="D1" s="149"/>
      <c r="E1" s="149"/>
      <c r="F1" s="1"/>
      <c r="G1" s="38"/>
      <c r="H1" s="37"/>
      <c r="I1" s="1"/>
      <c r="J1" s="1"/>
      <c r="K1" s="1"/>
      <c r="L1" s="1"/>
      <c r="M1" s="38"/>
    </row>
    <row r="2" spans="1:13" x14ac:dyDescent="0.25">
      <c r="A2" t="b">
        <v>1</v>
      </c>
      <c r="B2" t="b">
        <v>1</v>
      </c>
      <c r="C2" s="150"/>
      <c r="D2" s="150"/>
      <c r="E2" s="535" t="s">
        <v>53</v>
      </c>
      <c r="F2" s="533"/>
      <c r="G2" s="534"/>
      <c r="H2" s="532" t="s">
        <v>52</v>
      </c>
      <c r="I2" s="533"/>
      <c r="J2" s="533"/>
      <c r="K2" s="533"/>
      <c r="L2" s="533"/>
      <c r="M2" s="534"/>
    </row>
    <row r="3" spans="1:13" x14ac:dyDescent="0.25">
      <c r="A3" s="39" t="s">
        <v>75</v>
      </c>
      <c r="B3" s="34" t="s">
        <v>38</v>
      </c>
      <c r="C3" s="35" t="s">
        <v>48</v>
      </c>
      <c r="D3" s="35" t="s">
        <v>49</v>
      </c>
      <c r="E3" s="35" t="s">
        <v>40</v>
      </c>
      <c r="F3" s="35" t="s">
        <v>44</v>
      </c>
      <c r="G3" s="36" t="s">
        <v>47</v>
      </c>
      <c r="H3" s="34" t="s">
        <v>38</v>
      </c>
      <c r="I3" s="35" t="s">
        <v>48</v>
      </c>
      <c r="J3" s="35" t="s">
        <v>49</v>
      </c>
      <c r="K3" s="35" t="s">
        <v>40</v>
      </c>
      <c r="L3" s="35" t="s">
        <v>44</v>
      </c>
      <c r="M3" s="36" t="s">
        <v>47</v>
      </c>
    </row>
    <row r="4" spans="1:13" x14ac:dyDescent="0.25">
      <c r="A4" s="40">
        <f>B_STRB</f>
        <v>240</v>
      </c>
      <c r="B4" s="37" t="e">
        <f t="shared" ref="B4:B35" si="0">IF(Load_Case=1,3*(FL_SUS*H_STRB)/((L_STRB*0.001)^2),NA())</f>
        <v>#N/A</v>
      </c>
      <c r="C4" s="1" t="e">
        <f t="shared" ref="C4:C35" si="1">IF(Load_Case=1,(FC_SUS*H_STRB)/(L_STRB*A4*0.000001),NA())</f>
        <v>#N/A</v>
      </c>
      <c r="D4" s="1" t="e">
        <f t="shared" ref="D4:D35" si="2">IF(Load_Case=1,FA_SUS*1000/(2*L_STRB*0.001),NA())</f>
        <v>#N/A</v>
      </c>
      <c r="E4" s="1" t="e">
        <f t="shared" ref="E4:E35" si="3">IF(Load_Case=1,1.5*D4+SQRT((B4^2+(1.5*C4)^2)),NA())</f>
        <v>#N/A</v>
      </c>
      <c r="F4" s="1" t="e">
        <f t="shared" ref="F4:F35" si="4">IF(SL_STRB,(1.17*E4*SQRT(0.5*D*0.001))*0.000001/((tnet_STRB*0.001)^1.5),NA())</f>
        <v>#N/A</v>
      </c>
      <c r="G4" s="38" t="e">
        <f t="shared" ref="G4:G35" si="5">IF(SC_STRB,(0.643*E4*SQRT((D*0.5)*0.001))*0.000001/((tnet_STRB*0.001)^1.5),NA())</f>
        <v>#N/A</v>
      </c>
      <c r="H4" s="37">
        <f t="shared" ref="H4:H35" si="6">IF(Load_Case=2,3*(FL_EXP*H_STRB)/((L_STRB*0.001)^2),NA())</f>
        <v>104999.99999999999</v>
      </c>
      <c r="I4" s="1">
        <f t="shared" ref="I4:I35" si="7">IF(Load_Case=2,(FC_EXP*H_STRB)/(L_STRB*A4*0.000001),NA())</f>
        <v>14583.333333333332</v>
      </c>
      <c r="J4" s="1">
        <f t="shared" ref="J4:J35" si="8">IF(Load_Case=2,FA_EXP*1000/(2*L_STRB*0.001),NA())</f>
        <v>12500</v>
      </c>
      <c r="K4" s="1">
        <f t="shared" ref="K4:K35" si="9">IF(Load_Case=2,1.5*J4+SQRT((H4^2+(1.5*I4)^2)),NA())</f>
        <v>126004.44338114854</v>
      </c>
      <c r="L4" s="1">
        <f t="shared" ref="L4:L35" si="10">IF(SL_STRB,(1.17*K4*SQRT(0.5*D*0.001))*0.000001/((tnet_STRB*0.001)^1.5),NA())</f>
        <v>50.566844297601243</v>
      </c>
      <c r="M4" s="38">
        <f t="shared" ref="M4:M35" si="11">IF(SC_STRB,(0.643*K4*SQRT((D*0.5)*0.001))*0.000001/((tnet_STRB*0.001)^1.5),NA())</f>
        <v>27.790154601160346</v>
      </c>
    </row>
    <row r="5" spans="1:13" x14ac:dyDescent="0.25">
      <c r="A5" s="40">
        <f t="shared" ref="A5:A36" si="12">IF((A4+B_STRB_Increment)&gt;Max_STRB_B,NA(),A4+B_STRB_Increment)</f>
        <v>241</v>
      </c>
      <c r="B5" s="37" t="e">
        <f t="shared" si="0"/>
        <v>#N/A</v>
      </c>
      <c r="C5" s="1" t="e">
        <f t="shared" si="1"/>
        <v>#N/A</v>
      </c>
      <c r="D5" s="1" t="e">
        <f t="shared" si="2"/>
        <v>#N/A</v>
      </c>
      <c r="E5" s="1" t="e">
        <f t="shared" si="3"/>
        <v>#N/A</v>
      </c>
      <c r="F5" s="1" t="e">
        <f t="shared" si="4"/>
        <v>#N/A</v>
      </c>
      <c r="G5" s="38" t="e">
        <f t="shared" si="5"/>
        <v>#N/A</v>
      </c>
      <c r="H5" s="37">
        <f t="shared" si="6"/>
        <v>104999.99999999999</v>
      </c>
      <c r="I5" s="1">
        <f t="shared" si="7"/>
        <v>14522.821576763485</v>
      </c>
      <c r="J5" s="1">
        <f t="shared" si="8"/>
        <v>12500</v>
      </c>
      <c r="K5" s="1">
        <f t="shared" si="9"/>
        <v>125985.96775214293</v>
      </c>
      <c r="L5" s="1">
        <f t="shared" si="10"/>
        <v>50.559429842760153</v>
      </c>
      <c r="M5" s="38">
        <f t="shared" si="11"/>
        <v>27.786079819568187</v>
      </c>
    </row>
    <row r="6" spans="1:13" x14ac:dyDescent="0.25">
      <c r="A6" s="40">
        <f t="shared" si="12"/>
        <v>242</v>
      </c>
      <c r="B6" s="37" t="e">
        <f t="shared" si="0"/>
        <v>#N/A</v>
      </c>
      <c r="C6" s="1" t="e">
        <f t="shared" si="1"/>
        <v>#N/A</v>
      </c>
      <c r="D6" s="1" t="e">
        <f t="shared" si="2"/>
        <v>#N/A</v>
      </c>
      <c r="E6" s="1" t="e">
        <f t="shared" si="3"/>
        <v>#N/A</v>
      </c>
      <c r="F6" s="1" t="e">
        <f t="shared" si="4"/>
        <v>#N/A</v>
      </c>
      <c r="G6" s="38" t="e">
        <f t="shared" si="5"/>
        <v>#N/A</v>
      </c>
      <c r="H6" s="37">
        <f t="shared" si="6"/>
        <v>104999.99999999999</v>
      </c>
      <c r="I6" s="1">
        <f t="shared" si="7"/>
        <v>14462.809917355373</v>
      </c>
      <c r="J6" s="1">
        <f t="shared" si="8"/>
        <v>12500</v>
      </c>
      <c r="K6" s="1">
        <f t="shared" si="9"/>
        <v>125967.71756145293</v>
      </c>
      <c r="L6" s="1">
        <f t="shared" si="10"/>
        <v>50.552105858571508</v>
      </c>
      <c r="M6" s="38">
        <f t="shared" si="11"/>
        <v>27.782054758172205</v>
      </c>
    </row>
    <row r="7" spans="1:13" x14ac:dyDescent="0.25">
      <c r="A7" s="40">
        <f t="shared" si="12"/>
        <v>243</v>
      </c>
      <c r="B7" s="37" t="e">
        <f t="shared" si="0"/>
        <v>#N/A</v>
      </c>
      <c r="C7" s="1" t="e">
        <f t="shared" si="1"/>
        <v>#N/A</v>
      </c>
      <c r="D7" s="1" t="e">
        <f t="shared" si="2"/>
        <v>#N/A</v>
      </c>
      <c r="E7" s="1" t="e">
        <f t="shared" si="3"/>
        <v>#N/A</v>
      </c>
      <c r="F7" s="1" t="e">
        <f t="shared" si="4"/>
        <v>#N/A</v>
      </c>
      <c r="G7" s="38" t="e">
        <f t="shared" si="5"/>
        <v>#N/A</v>
      </c>
      <c r="H7" s="37">
        <f t="shared" si="6"/>
        <v>104999.99999999999</v>
      </c>
      <c r="I7" s="1">
        <f t="shared" si="7"/>
        <v>14403.292181069959</v>
      </c>
      <c r="J7" s="1">
        <f t="shared" si="8"/>
        <v>12500</v>
      </c>
      <c r="K7" s="1">
        <f t="shared" si="9"/>
        <v>125949.68916801884</v>
      </c>
      <c r="L7" s="1">
        <f t="shared" si="10"/>
        <v>50.544870883841604</v>
      </c>
      <c r="M7" s="38">
        <f t="shared" si="11"/>
        <v>27.778078613940302</v>
      </c>
    </row>
    <row r="8" spans="1:13" x14ac:dyDescent="0.25">
      <c r="A8" s="40">
        <f t="shared" si="12"/>
        <v>244</v>
      </c>
      <c r="B8" s="37" t="e">
        <f t="shared" si="0"/>
        <v>#N/A</v>
      </c>
      <c r="C8" s="1" t="e">
        <f t="shared" si="1"/>
        <v>#N/A</v>
      </c>
      <c r="D8" s="1" t="e">
        <f t="shared" si="2"/>
        <v>#N/A</v>
      </c>
      <c r="E8" s="1" t="e">
        <f t="shared" si="3"/>
        <v>#N/A</v>
      </c>
      <c r="F8" s="1" t="e">
        <f t="shared" si="4"/>
        <v>#N/A</v>
      </c>
      <c r="G8" s="38" t="e">
        <f t="shared" si="5"/>
        <v>#N/A</v>
      </c>
      <c r="H8" s="37">
        <f t="shared" si="6"/>
        <v>104999.99999999999</v>
      </c>
      <c r="I8" s="1">
        <f t="shared" si="7"/>
        <v>14344.262295081968</v>
      </c>
      <c r="J8" s="1">
        <f t="shared" si="8"/>
        <v>12500</v>
      </c>
      <c r="K8" s="1">
        <f t="shared" si="9"/>
        <v>125931.87900376511</v>
      </c>
      <c r="L8" s="1">
        <f t="shared" si="10"/>
        <v>50.537723486666017</v>
      </c>
      <c r="M8" s="38">
        <f t="shared" si="11"/>
        <v>27.77415059993697</v>
      </c>
    </row>
    <row r="9" spans="1:13" x14ac:dyDescent="0.25">
      <c r="A9" s="40">
        <f t="shared" si="12"/>
        <v>245</v>
      </c>
      <c r="B9" s="37" t="e">
        <f t="shared" si="0"/>
        <v>#N/A</v>
      </c>
      <c r="C9" s="1" t="e">
        <f t="shared" si="1"/>
        <v>#N/A</v>
      </c>
      <c r="D9" s="1" t="e">
        <f t="shared" si="2"/>
        <v>#N/A</v>
      </c>
      <c r="E9" s="1" t="e">
        <f t="shared" si="3"/>
        <v>#N/A</v>
      </c>
      <c r="F9" s="1" t="e">
        <f t="shared" si="4"/>
        <v>#N/A</v>
      </c>
      <c r="G9" s="38" t="e">
        <f t="shared" si="5"/>
        <v>#N/A</v>
      </c>
      <c r="H9" s="37">
        <f t="shared" si="6"/>
        <v>104999.99999999999</v>
      </c>
      <c r="I9" s="1">
        <f t="shared" si="7"/>
        <v>14285.714285714288</v>
      </c>
      <c r="J9" s="1">
        <f t="shared" si="8"/>
        <v>12500</v>
      </c>
      <c r="K9" s="1">
        <f t="shared" si="9"/>
        <v>125914.28357185701</v>
      </c>
      <c r="L9" s="1">
        <f t="shared" si="10"/>
        <v>50.530662263730001</v>
      </c>
      <c r="M9" s="38">
        <f t="shared" si="11"/>
        <v>27.770269944938789</v>
      </c>
    </row>
    <row r="10" spans="1:13" x14ac:dyDescent="0.25">
      <c r="A10" s="40">
        <f t="shared" si="12"/>
        <v>246</v>
      </c>
      <c r="B10" s="37" t="e">
        <f t="shared" si="0"/>
        <v>#N/A</v>
      </c>
      <c r="C10" s="1" t="e">
        <f t="shared" si="1"/>
        <v>#N/A</v>
      </c>
      <c r="D10" s="1" t="e">
        <f t="shared" si="2"/>
        <v>#N/A</v>
      </c>
      <c r="E10" s="1" t="e">
        <f t="shared" si="3"/>
        <v>#N/A</v>
      </c>
      <c r="F10" s="1" t="e">
        <f t="shared" si="4"/>
        <v>#N/A</v>
      </c>
      <c r="G10" s="38" t="e">
        <f t="shared" si="5"/>
        <v>#N/A</v>
      </c>
      <c r="H10" s="37">
        <f t="shared" si="6"/>
        <v>104999.99999999999</v>
      </c>
      <c r="I10" s="1">
        <f t="shared" si="7"/>
        <v>14227.642276422765</v>
      </c>
      <c r="J10" s="1">
        <f t="shared" si="8"/>
        <v>12500</v>
      </c>
      <c r="K10" s="1">
        <f t="shared" si="9"/>
        <v>125896.89944500571</v>
      </c>
      <c r="L10" s="1">
        <f t="shared" si="10"/>
        <v>50.523685839628165</v>
      </c>
      <c r="M10" s="38">
        <f t="shared" si="11"/>
        <v>27.766435893060617</v>
      </c>
    </row>
    <row r="11" spans="1:13" x14ac:dyDescent="0.25">
      <c r="A11" s="40">
        <f t="shared" si="12"/>
        <v>247</v>
      </c>
      <c r="B11" s="37" t="e">
        <f t="shared" si="0"/>
        <v>#N/A</v>
      </c>
      <c r="C11" s="1" t="e">
        <f t="shared" si="1"/>
        <v>#N/A</v>
      </c>
      <c r="D11" s="1" t="e">
        <f t="shared" si="2"/>
        <v>#N/A</v>
      </c>
      <c r="E11" s="1" t="e">
        <f t="shared" si="3"/>
        <v>#N/A</v>
      </c>
      <c r="F11" s="1" t="e">
        <f t="shared" si="4"/>
        <v>#N/A</v>
      </c>
      <c r="G11" s="38" t="e">
        <f t="shared" si="5"/>
        <v>#N/A</v>
      </c>
      <c r="H11" s="37">
        <f t="shared" si="6"/>
        <v>104999.99999999999</v>
      </c>
      <c r="I11" s="1">
        <f t="shared" si="7"/>
        <v>14170.040485829959</v>
      </c>
      <c r="J11" s="1">
        <f t="shared" si="8"/>
        <v>12500</v>
      </c>
      <c r="K11" s="1">
        <f t="shared" si="9"/>
        <v>125879.72326381989</v>
      </c>
      <c r="L11" s="1">
        <f t="shared" si="10"/>
        <v>50.516792866203225</v>
      </c>
      <c r="M11" s="38">
        <f t="shared" si="11"/>
        <v>27.762647703392037</v>
      </c>
    </row>
    <row r="12" spans="1:13" x14ac:dyDescent="0.25">
      <c r="A12" s="40">
        <f t="shared" si="12"/>
        <v>248</v>
      </c>
      <c r="B12" s="37" t="e">
        <f t="shared" si="0"/>
        <v>#N/A</v>
      </c>
      <c r="C12" s="1" t="e">
        <f t="shared" si="1"/>
        <v>#N/A</v>
      </c>
      <c r="D12" s="1" t="e">
        <f t="shared" si="2"/>
        <v>#N/A</v>
      </c>
      <c r="E12" s="1" t="e">
        <f t="shared" si="3"/>
        <v>#N/A</v>
      </c>
      <c r="F12" s="1" t="e">
        <f t="shared" si="4"/>
        <v>#N/A</v>
      </c>
      <c r="G12" s="38" t="e">
        <f t="shared" si="5"/>
        <v>#N/A</v>
      </c>
      <c r="H12" s="37">
        <f t="shared" si="6"/>
        <v>104999.99999999999</v>
      </c>
      <c r="I12" s="1">
        <f t="shared" si="7"/>
        <v>14112.903225806453</v>
      </c>
      <c r="J12" s="1">
        <f t="shared" si="8"/>
        <v>12500</v>
      </c>
      <c r="K12" s="1">
        <f t="shared" si="9"/>
        <v>125862.75173520284</v>
      </c>
      <c r="L12" s="1">
        <f t="shared" si="10"/>
        <v>50.509982021902495</v>
      </c>
      <c r="M12" s="38">
        <f t="shared" si="11"/>
        <v>27.758904649643846</v>
      </c>
    </row>
    <row r="13" spans="1:13" x14ac:dyDescent="0.25">
      <c r="A13" s="40">
        <f t="shared" si="12"/>
        <v>249</v>
      </c>
      <c r="B13" s="37" t="e">
        <f t="shared" si="0"/>
        <v>#N/A</v>
      </c>
      <c r="C13" s="1" t="e">
        <f t="shared" si="1"/>
        <v>#N/A</v>
      </c>
      <c r="D13" s="1" t="e">
        <f t="shared" si="2"/>
        <v>#N/A</v>
      </c>
      <c r="E13" s="1" t="e">
        <f t="shared" si="3"/>
        <v>#N/A</v>
      </c>
      <c r="F13" s="1" t="e">
        <f t="shared" si="4"/>
        <v>#N/A</v>
      </c>
      <c r="G13" s="38" t="e">
        <f t="shared" si="5"/>
        <v>#N/A</v>
      </c>
      <c r="H13" s="37">
        <f t="shared" si="6"/>
        <v>104999.99999999999</v>
      </c>
      <c r="I13" s="1">
        <f t="shared" si="7"/>
        <v>14056.224899598394</v>
      </c>
      <c r="J13" s="1">
        <f t="shared" si="8"/>
        <v>12500</v>
      </c>
      <c r="K13" s="1">
        <f t="shared" si="9"/>
        <v>125845.98163079322</v>
      </c>
      <c r="L13" s="1">
        <f t="shared" si="10"/>
        <v>50.503252011152235</v>
      </c>
      <c r="M13" s="38">
        <f t="shared" si="11"/>
        <v>27.755206019804177</v>
      </c>
    </row>
    <row r="14" spans="1:13" x14ac:dyDescent="0.25">
      <c r="A14" s="40">
        <f t="shared" si="12"/>
        <v>250</v>
      </c>
      <c r="B14" s="37" t="e">
        <f t="shared" si="0"/>
        <v>#N/A</v>
      </c>
      <c r="C14" s="1" t="e">
        <f t="shared" si="1"/>
        <v>#N/A</v>
      </c>
      <c r="D14" s="1" t="e">
        <f t="shared" si="2"/>
        <v>#N/A</v>
      </c>
      <c r="E14" s="1" t="e">
        <f t="shared" si="3"/>
        <v>#N/A</v>
      </c>
      <c r="F14" s="1" t="e">
        <f t="shared" si="4"/>
        <v>#N/A</v>
      </c>
      <c r="G14" s="38" t="e">
        <f t="shared" si="5"/>
        <v>#N/A</v>
      </c>
      <c r="H14" s="37">
        <f t="shared" si="6"/>
        <v>104999.99999999999</v>
      </c>
      <c r="I14" s="1">
        <f t="shared" si="7"/>
        <v>14000.000000000002</v>
      </c>
      <c r="J14" s="1">
        <f t="shared" si="8"/>
        <v>12500</v>
      </c>
      <c r="K14" s="1">
        <f t="shared" si="9"/>
        <v>125829.40978544846</v>
      </c>
      <c r="L14" s="1">
        <f t="shared" si="10"/>
        <v>50.496601563749046</v>
      </c>
      <c r="M14" s="38">
        <f t="shared" si="11"/>
        <v>27.75155111580397</v>
      </c>
    </row>
    <row r="15" spans="1:13" x14ac:dyDescent="0.25">
      <c r="A15" s="40">
        <f t="shared" si="12"/>
        <v>251</v>
      </c>
      <c r="B15" s="37" t="e">
        <f t="shared" si="0"/>
        <v>#N/A</v>
      </c>
      <c r="C15" s="1" t="e">
        <f t="shared" si="1"/>
        <v>#N/A</v>
      </c>
      <c r="D15" s="1" t="e">
        <f t="shared" si="2"/>
        <v>#N/A</v>
      </c>
      <c r="E15" s="1" t="e">
        <f t="shared" si="3"/>
        <v>#N/A</v>
      </c>
      <c r="F15" s="1" t="e">
        <f t="shared" si="4"/>
        <v>#N/A</v>
      </c>
      <c r="G15" s="38" t="e">
        <f t="shared" si="5"/>
        <v>#N/A</v>
      </c>
      <c r="H15" s="37">
        <f t="shared" si="6"/>
        <v>104999.99999999999</v>
      </c>
      <c r="I15" s="1">
        <f t="shared" si="7"/>
        <v>13944.223107569722</v>
      </c>
      <c r="J15" s="1">
        <f t="shared" si="8"/>
        <v>12500</v>
      </c>
      <c r="K15" s="1">
        <f t="shared" si="9"/>
        <v>125813.03309576923</v>
      </c>
      <c r="L15" s="1">
        <f t="shared" si="10"/>
        <v>50.490029434267761</v>
      </c>
      <c r="M15" s="38">
        <f t="shared" si="11"/>
        <v>27.747939253191607</v>
      </c>
    </row>
    <row r="16" spans="1:13" x14ac:dyDescent="0.25">
      <c r="A16" s="40">
        <f t="shared" si="12"/>
        <v>252</v>
      </c>
      <c r="B16" s="37" t="e">
        <f t="shared" si="0"/>
        <v>#N/A</v>
      </c>
      <c r="C16" s="1" t="e">
        <f t="shared" si="1"/>
        <v>#N/A</v>
      </c>
      <c r="D16" s="1" t="e">
        <f t="shared" si="2"/>
        <v>#N/A</v>
      </c>
      <c r="E16" s="1" t="e">
        <f t="shared" si="3"/>
        <v>#N/A</v>
      </c>
      <c r="F16" s="1" t="e">
        <f t="shared" si="4"/>
        <v>#N/A</v>
      </c>
      <c r="G16" s="38" t="e">
        <f t="shared" si="5"/>
        <v>#N/A</v>
      </c>
      <c r="H16" s="37">
        <f t="shared" si="6"/>
        <v>104999.99999999999</v>
      </c>
      <c r="I16" s="1">
        <f t="shared" si="7"/>
        <v>13888.888888888889</v>
      </c>
      <c r="J16" s="1">
        <f t="shared" si="8"/>
        <v>12500</v>
      </c>
      <c r="K16" s="1">
        <f t="shared" si="9"/>
        <v>125796.8485186639</v>
      </c>
      <c r="L16" s="1">
        <f t="shared" si="10"/>
        <v>50.483534401485208</v>
      </c>
      <c r="M16" s="38">
        <f t="shared" si="11"/>
        <v>27.74436976081623</v>
      </c>
    </row>
    <row r="17" spans="1:13" x14ac:dyDescent="0.25">
      <c r="A17" s="40">
        <f t="shared" si="12"/>
        <v>253</v>
      </c>
      <c r="B17" s="37" t="e">
        <f t="shared" si="0"/>
        <v>#N/A</v>
      </c>
      <c r="C17" s="1" t="e">
        <f t="shared" si="1"/>
        <v>#N/A</v>
      </c>
      <c r="D17" s="1" t="e">
        <f t="shared" si="2"/>
        <v>#N/A</v>
      </c>
      <c r="E17" s="1" t="e">
        <f t="shared" si="3"/>
        <v>#N/A</v>
      </c>
      <c r="F17" s="1" t="e">
        <f t="shared" si="4"/>
        <v>#N/A</v>
      </c>
      <c r="G17" s="38" t="e">
        <f t="shared" si="5"/>
        <v>#N/A</v>
      </c>
      <c r="H17" s="37">
        <f t="shared" si="6"/>
        <v>104999.99999999999</v>
      </c>
      <c r="I17" s="1">
        <f t="shared" si="7"/>
        <v>13833.99209486166</v>
      </c>
      <c r="J17" s="1">
        <f t="shared" si="8"/>
        <v>12500</v>
      </c>
      <c r="K17" s="1">
        <f t="shared" si="9"/>
        <v>125780.85306995155</v>
      </c>
      <c r="L17" s="1">
        <f t="shared" si="10"/>
        <v>50.477115267819734</v>
      </c>
      <c r="M17" s="38">
        <f t="shared" si="11"/>
        <v>27.740841980519733</v>
      </c>
    </row>
    <row r="18" spans="1:13" x14ac:dyDescent="0.25">
      <c r="A18" s="40">
        <f t="shared" si="12"/>
        <v>254</v>
      </c>
      <c r="B18" s="37" t="e">
        <f t="shared" si="0"/>
        <v>#N/A</v>
      </c>
      <c r="C18" s="1" t="e">
        <f t="shared" si="1"/>
        <v>#N/A</v>
      </c>
      <c r="D18" s="1" t="e">
        <f t="shared" si="2"/>
        <v>#N/A</v>
      </c>
      <c r="E18" s="1" t="e">
        <f t="shared" si="3"/>
        <v>#N/A</v>
      </c>
      <c r="F18" s="1" t="e">
        <f t="shared" si="4"/>
        <v>#N/A</v>
      </c>
      <c r="G18" s="38" t="e">
        <f t="shared" si="5"/>
        <v>#N/A</v>
      </c>
      <c r="H18" s="37">
        <f t="shared" si="6"/>
        <v>104999.99999999999</v>
      </c>
      <c r="I18" s="1">
        <f t="shared" si="7"/>
        <v>13779.527559055119</v>
      </c>
      <c r="J18" s="1">
        <f t="shared" si="8"/>
        <v>12500</v>
      </c>
      <c r="K18" s="1">
        <f t="shared" si="9"/>
        <v>125765.04382300278</v>
      </c>
      <c r="L18" s="1">
        <f t="shared" si="10"/>
        <v>50.470770858785656</v>
      </c>
      <c r="M18" s="38">
        <f t="shared" si="11"/>
        <v>27.737355266836904</v>
      </c>
    </row>
    <row r="19" spans="1:13" x14ac:dyDescent="0.25">
      <c r="A19" s="40">
        <f t="shared" si="12"/>
        <v>255</v>
      </c>
      <c r="B19" s="37" t="e">
        <f t="shared" si="0"/>
        <v>#N/A</v>
      </c>
      <c r="C19" s="1" t="e">
        <f t="shared" si="1"/>
        <v>#N/A</v>
      </c>
      <c r="D19" s="1" t="e">
        <f t="shared" si="2"/>
        <v>#N/A</v>
      </c>
      <c r="E19" s="1" t="e">
        <f t="shared" si="3"/>
        <v>#N/A</v>
      </c>
      <c r="F19" s="1" t="e">
        <f t="shared" si="4"/>
        <v>#N/A</v>
      </c>
      <c r="G19" s="38" t="e">
        <f t="shared" si="5"/>
        <v>#N/A</v>
      </c>
      <c r="H19" s="37">
        <f t="shared" si="6"/>
        <v>104999.99999999999</v>
      </c>
      <c r="I19" s="1">
        <f t="shared" si="7"/>
        <v>13725.490196078432</v>
      </c>
      <c r="J19" s="1">
        <f t="shared" si="8"/>
        <v>12500</v>
      </c>
      <c r="K19" s="1">
        <f t="shared" si="9"/>
        <v>125749.41790741643</v>
      </c>
      <c r="L19" s="1">
        <f t="shared" si="10"/>
        <v>50.464500022462275</v>
      </c>
      <c r="M19" s="38">
        <f t="shared" si="11"/>
        <v>27.733908986703629</v>
      </c>
    </row>
    <row r="20" spans="1:13" x14ac:dyDescent="0.25">
      <c r="A20" s="40">
        <f t="shared" si="12"/>
        <v>256</v>
      </c>
      <c r="B20" s="37" t="e">
        <f t="shared" si="0"/>
        <v>#N/A</v>
      </c>
      <c r="C20" s="1" t="e">
        <f t="shared" si="1"/>
        <v>#N/A</v>
      </c>
      <c r="D20" s="1" t="e">
        <f t="shared" si="2"/>
        <v>#N/A</v>
      </c>
      <c r="E20" s="1" t="e">
        <f t="shared" si="3"/>
        <v>#N/A</v>
      </c>
      <c r="F20" s="1" t="e">
        <f t="shared" si="4"/>
        <v>#N/A</v>
      </c>
      <c r="G20" s="38" t="e">
        <f t="shared" si="5"/>
        <v>#N/A</v>
      </c>
      <c r="H20" s="37">
        <f t="shared" si="6"/>
        <v>104999.99999999999</v>
      </c>
      <c r="I20" s="1">
        <f t="shared" si="7"/>
        <v>13671.875000000002</v>
      </c>
      <c r="J20" s="1">
        <f t="shared" si="8"/>
        <v>12500</v>
      </c>
      <c r="K20" s="1">
        <f t="shared" si="9"/>
        <v>125733.97250773197</v>
      </c>
      <c r="L20" s="1">
        <f t="shared" si="10"/>
        <v>50.45830162897709</v>
      </c>
      <c r="M20" s="38">
        <f t="shared" si="11"/>
        <v>27.730502519172884</v>
      </c>
    </row>
    <row r="21" spans="1:13" x14ac:dyDescent="0.25">
      <c r="A21" s="40">
        <f t="shared" si="12"/>
        <v>257</v>
      </c>
      <c r="B21" s="37" t="e">
        <f t="shared" si="0"/>
        <v>#N/A</v>
      </c>
      <c r="C21" s="1" t="e">
        <f t="shared" si="1"/>
        <v>#N/A</v>
      </c>
      <c r="D21" s="1" t="e">
        <f t="shared" si="2"/>
        <v>#N/A</v>
      </c>
      <c r="E21" s="1" t="e">
        <f t="shared" si="3"/>
        <v>#N/A</v>
      </c>
      <c r="F21" s="1" t="e">
        <f t="shared" si="4"/>
        <v>#N/A</v>
      </c>
      <c r="G21" s="38" t="e">
        <f t="shared" si="5"/>
        <v>#N/A</v>
      </c>
      <c r="H21" s="37">
        <f t="shared" si="6"/>
        <v>104999.99999999999</v>
      </c>
      <c r="I21" s="1">
        <f t="shared" si="7"/>
        <v>13618.677042801557</v>
      </c>
      <c r="J21" s="1">
        <f t="shared" si="8"/>
        <v>12500</v>
      </c>
      <c r="K21" s="1">
        <f t="shared" si="9"/>
        <v>125718.70486217587</v>
      </c>
      <c r="L21" s="1">
        <f t="shared" si="10"/>
        <v>50.45217457000274</v>
      </c>
      <c r="M21" s="38">
        <f t="shared" si="11"/>
        <v>27.727135255138261</v>
      </c>
    </row>
    <row r="22" spans="1:13" x14ac:dyDescent="0.25">
      <c r="A22" s="40">
        <f t="shared" si="12"/>
        <v>258</v>
      </c>
      <c r="B22" s="37" t="e">
        <f t="shared" si="0"/>
        <v>#N/A</v>
      </c>
      <c r="C22" s="1" t="e">
        <f t="shared" si="1"/>
        <v>#N/A</v>
      </c>
      <c r="D22" s="1" t="e">
        <f t="shared" si="2"/>
        <v>#N/A</v>
      </c>
      <c r="E22" s="1" t="e">
        <f t="shared" si="3"/>
        <v>#N/A</v>
      </c>
      <c r="F22" s="1" t="e">
        <f t="shared" si="4"/>
        <v>#N/A</v>
      </c>
      <c r="G22" s="38" t="e">
        <f t="shared" si="5"/>
        <v>#N/A</v>
      </c>
      <c r="H22" s="37">
        <f t="shared" si="6"/>
        <v>104999.99999999999</v>
      </c>
      <c r="I22" s="1">
        <f t="shared" si="7"/>
        <v>13565.891472868218</v>
      </c>
      <c r="J22" s="1">
        <f t="shared" si="8"/>
        <v>12500</v>
      </c>
      <c r="K22" s="1">
        <f t="shared" si="9"/>
        <v>125703.6122614411</v>
      </c>
      <c r="L22" s="1">
        <f t="shared" si="10"/>
        <v>50.446117758267192</v>
      </c>
      <c r="M22" s="38">
        <f t="shared" si="11"/>
        <v>27.723806597064797</v>
      </c>
    </row>
    <row r="23" spans="1:13" x14ac:dyDescent="0.25">
      <c r="A23" s="40">
        <f t="shared" si="12"/>
        <v>259</v>
      </c>
      <c r="B23" s="37" t="e">
        <f t="shared" si="0"/>
        <v>#N/A</v>
      </c>
      <c r="C23" s="1" t="e">
        <f t="shared" si="1"/>
        <v>#N/A</v>
      </c>
      <c r="D23" s="1" t="e">
        <f t="shared" si="2"/>
        <v>#N/A</v>
      </c>
      <c r="E23" s="1" t="e">
        <f t="shared" si="3"/>
        <v>#N/A</v>
      </c>
      <c r="F23" s="1" t="e">
        <f t="shared" si="4"/>
        <v>#N/A</v>
      </c>
      <c r="G23" s="38" t="e">
        <f t="shared" si="5"/>
        <v>#N/A</v>
      </c>
      <c r="H23" s="37">
        <f t="shared" si="6"/>
        <v>104999.99999999999</v>
      </c>
      <c r="I23" s="1">
        <f t="shared" si="7"/>
        <v>13513.513513513513</v>
      </c>
      <c r="J23" s="1">
        <f t="shared" si="8"/>
        <v>12500</v>
      </c>
      <c r="K23" s="1">
        <f t="shared" si="9"/>
        <v>125688.69204749887</v>
      </c>
      <c r="L23" s="1">
        <f t="shared" si="10"/>
        <v>50.440130127076912</v>
      </c>
      <c r="M23" s="38">
        <f t="shared" si="11"/>
        <v>27.720515958726889</v>
      </c>
    </row>
    <row r="24" spans="1:13" x14ac:dyDescent="0.25">
      <c r="A24" s="40">
        <f t="shared" si="12"/>
        <v>260</v>
      </c>
      <c r="B24" s="37" t="e">
        <f t="shared" si="0"/>
        <v>#N/A</v>
      </c>
      <c r="C24" s="1" t="e">
        <f t="shared" si="1"/>
        <v>#N/A</v>
      </c>
      <c r="D24" s="1" t="e">
        <f t="shared" si="2"/>
        <v>#N/A</v>
      </c>
      <c r="E24" s="1" t="e">
        <f t="shared" si="3"/>
        <v>#N/A</v>
      </c>
      <c r="F24" s="1" t="e">
        <f t="shared" si="4"/>
        <v>#N/A</v>
      </c>
      <c r="G24" s="38" t="e">
        <f t="shared" si="5"/>
        <v>#N/A</v>
      </c>
      <c r="H24" s="37">
        <f t="shared" si="6"/>
        <v>104999.99999999999</v>
      </c>
      <c r="I24" s="1">
        <f t="shared" si="7"/>
        <v>13461.538461538463</v>
      </c>
      <c r="J24" s="1">
        <f t="shared" si="8"/>
        <v>12500</v>
      </c>
      <c r="K24" s="1">
        <f t="shared" si="9"/>
        <v>125673.94161244162</v>
      </c>
      <c r="L24" s="1">
        <f t="shared" si="10"/>
        <v>50.434210629852466</v>
      </c>
      <c r="M24" s="38">
        <f t="shared" si="11"/>
        <v>27.717262764953116</v>
      </c>
    </row>
    <row r="25" spans="1:13" x14ac:dyDescent="0.25">
      <c r="A25" s="40">
        <f t="shared" si="12"/>
        <v>261</v>
      </c>
      <c r="B25" s="37" t="e">
        <f t="shared" si="0"/>
        <v>#N/A</v>
      </c>
      <c r="C25" s="1" t="e">
        <f t="shared" si="1"/>
        <v>#N/A</v>
      </c>
      <c r="D25" s="1" t="e">
        <f t="shared" si="2"/>
        <v>#N/A</v>
      </c>
      <c r="E25" s="1" t="e">
        <f t="shared" si="3"/>
        <v>#N/A</v>
      </c>
      <c r="F25" s="1" t="e">
        <f t="shared" si="4"/>
        <v>#N/A</v>
      </c>
      <c r="G25" s="38" t="e">
        <f t="shared" si="5"/>
        <v>#N/A</v>
      </c>
      <c r="H25" s="37">
        <f t="shared" si="6"/>
        <v>104999.99999999999</v>
      </c>
      <c r="I25" s="1">
        <f t="shared" si="7"/>
        <v>13409.961685823755</v>
      </c>
      <c r="J25" s="1">
        <f t="shared" si="8"/>
        <v>12500</v>
      </c>
      <c r="K25" s="1">
        <f t="shared" si="9"/>
        <v>125659.35839735609</v>
      </c>
      <c r="L25" s="1">
        <f t="shared" si="10"/>
        <v>50.428358239676385</v>
      </c>
      <c r="M25" s="38">
        <f t="shared" si="11"/>
        <v>27.714046451377701</v>
      </c>
    </row>
    <row r="26" spans="1:13" x14ac:dyDescent="0.25">
      <c r="A26" s="40">
        <f t="shared" si="12"/>
        <v>262</v>
      </c>
      <c r="B26" s="37" t="e">
        <f t="shared" si="0"/>
        <v>#N/A</v>
      </c>
      <c r="C26" s="1" t="e">
        <f t="shared" si="1"/>
        <v>#N/A</v>
      </c>
      <c r="D26" s="1" t="e">
        <f t="shared" si="2"/>
        <v>#N/A</v>
      </c>
      <c r="E26" s="1" t="e">
        <f t="shared" si="3"/>
        <v>#N/A</v>
      </c>
      <c r="F26" s="1" t="e">
        <f t="shared" si="4"/>
        <v>#N/A</v>
      </c>
      <c r="G26" s="38" t="e">
        <f t="shared" si="5"/>
        <v>#N/A</v>
      </c>
      <c r="H26" s="37">
        <f t="shared" si="6"/>
        <v>104999.99999999999</v>
      </c>
      <c r="I26" s="1">
        <f t="shared" si="7"/>
        <v>13358.778625954199</v>
      </c>
      <c r="J26" s="1">
        <f t="shared" si="8"/>
        <v>12500</v>
      </c>
      <c r="K26" s="1">
        <f t="shared" si="9"/>
        <v>125644.93989122595</v>
      </c>
      <c r="L26" s="1">
        <f t="shared" si="10"/>
        <v>50.422571948852635</v>
      </c>
      <c r="M26" s="38">
        <f t="shared" si="11"/>
        <v>27.710866464198507</v>
      </c>
    </row>
    <row r="27" spans="1:13" x14ac:dyDescent="0.25">
      <c r="A27" s="40">
        <f t="shared" si="12"/>
        <v>263</v>
      </c>
      <c r="B27" s="37" t="e">
        <f t="shared" si="0"/>
        <v>#N/A</v>
      </c>
      <c r="C27" s="1" t="e">
        <f t="shared" si="1"/>
        <v>#N/A</v>
      </c>
      <c r="D27" s="1" t="e">
        <f t="shared" si="2"/>
        <v>#N/A</v>
      </c>
      <c r="E27" s="1" t="e">
        <f t="shared" si="3"/>
        <v>#N/A</v>
      </c>
      <c r="F27" s="1" t="e">
        <f t="shared" si="4"/>
        <v>#N/A</v>
      </c>
      <c r="G27" s="38" t="e">
        <f t="shared" si="5"/>
        <v>#N/A</v>
      </c>
      <c r="H27" s="37">
        <f t="shared" si="6"/>
        <v>104999.99999999999</v>
      </c>
      <c r="I27" s="1">
        <f t="shared" si="7"/>
        <v>13307.984790874525</v>
      </c>
      <c r="J27" s="1">
        <f t="shared" si="8"/>
        <v>12500</v>
      </c>
      <c r="K27" s="1">
        <f t="shared" si="9"/>
        <v>125630.68362986283</v>
      </c>
      <c r="L27" s="1">
        <f t="shared" si="10"/>
        <v>50.416850768477801</v>
      </c>
      <c r="M27" s="38">
        <f t="shared" si="11"/>
        <v>27.707722259941217</v>
      </c>
    </row>
    <row r="28" spans="1:13" x14ac:dyDescent="0.25">
      <c r="A28" s="40">
        <f t="shared" si="12"/>
        <v>264</v>
      </c>
      <c r="B28" s="37" t="e">
        <f t="shared" si="0"/>
        <v>#N/A</v>
      </c>
      <c r="C28" s="1" t="e">
        <f t="shared" si="1"/>
        <v>#N/A</v>
      </c>
      <c r="D28" s="1" t="e">
        <f t="shared" si="2"/>
        <v>#N/A</v>
      </c>
      <c r="E28" s="1" t="e">
        <f t="shared" si="3"/>
        <v>#N/A</v>
      </c>
      <c r="F28" s="1" t="e">
        <f t="shared" si="4"/>
        <v>#N/A</v>
      </c>
      <c r="G28" s="38" t="e">
        <f t="shared" si="5"/>
        <v>#N/A</v>
      </c>
      <c r="H28" s="37">
        <f t="shared" si="6"/>
        <v>104999.99999999999</v>
      </c>
      <c r="I28" s="1">
        <f t="shared" si="7"/>
        <v>13257.575757575758</v>
      </c>
      <c r="J28" s="1">
        <f t="shared" si="8"/>
        <v>12500</v>
      </c>
      <c r="K28" s="1">
        <f t="shared" si="9"/>
        <v>125616.587194865</v>
      </c>
      <c r="L28" s="1">
        <f t="shared" si="10"/>
        <v>50.411193728023036</v>
      </c>
      <c r="M28" s="38">
        <f t="shared" si="11"/>
        <v>27.704613305229756</v>
      </c>
    </row>
    <row r="29" spans="1:13" x14ac:dyDescent="0.25">
      <c r="A29" s="40">
        <f t="shared" si="12"/>
        <v>265</v>
      </c>
      <c r="B29" s="37" t="e">
        <f t="shared" si="0"/>
        <v>#N/A</v>
      </c>
      <c r="C29" s="1" t="e">
        <f t="shared" si="1"/>
        <v>#N/A</v>
      </c>
      <c r="D29" s="1" t="e">
        <f t="shared" si="2"/>
        <v>#N/A</v>
      </c>
      <c r="E29" s="1" t="e">
        <f t="shared" si="3"/>
        <v>#N/A</v>
      </c>
      <c r="F29" s="1" t="e">
        <f t="shared" si="4"/>
        <v>#N/A</v>
      </c>
      <c r="G29" s="38" t="e">
        <f t="shared" si="5"/>
        <v>#N/A</v>
      </c>
      <c r="H29" s="37">
        <f t="shared" si="6"/>
        <v>104999.99999999999</v>
      </c>
      <c r="I29" s="1">
        <f t="shared" si="7"/>
        <v>13207.547169811322</v>
      </c>
      <c r="J29" s="1">
        <f t="shared" si="8"/>
        <v>12500</v>
      </c>
      <c r="K29" s="1">
        <f t="shared" si="9"/>
        <v>125602.64821260293</v>
      </c>
      <c r="L29" s="1">
        <f t="shared" si="10"/>
        <v>50.40559987492707</v>
      </c>
      <c r="M29" s="38">
        <f t="shared" si="11"/>
        <v>27.70153907656249</v>
      </c>
    </row>
    <row r="30" spans="1:13" x14ac:dyDescent="0.25">
      <c r="A30" s="40">
        <f t="shared" si="12"/>
        <v>266</v>
      </c>
      <c r="B30" s="37" t="e">
        <f t="shared" si="0"/>
        <v>#N/A</v>
      </c>
      <c r="C30" s="1" t="e">
        <f t="shared" si="1"/>
        <v>#N/A</v>
      </c>
      <c r="D30" s="1" t="e">
        <f t="shared" si="2"/>
        <v>#N/A</v>
      </c>
      <c r="E30" s="1" t="e">
        <f t="shared" si="3"/>
        <v>#N/A</v>
      </c>
      <c r="F30" s="1" t="e">
        <f t="shared" si="4"/>
        <v>#N/A</v>
      </c>
      <c r="G30" s="38" t="e">
        <f t="shared" si="5"/>
        <v>#N/A</v>
      </c>
      <c r="H30" s="37">
        <f t="shared" si="6"/>
        <v>104999.99999999999</v>
      </c>
      <c r="I30" s="1">
        <f t="shared" si="7"/>
        <v>13157.894736842107</v>
      </c>
      <c r="J30" s="1">
        <f t="shared" si="8"/>
        <v>12500</v>
      </c>
      <c r="K30" s="1">
        <f t="shared" si="9"/>
        <v>125588.86435323095</v>
      </c>
      <c r="L30" s="1">
        <f t="shared" si="10"/>
        <v>50.400068274199505</v>
      </c>
      <c r="M30" s="38">
        <f t="shared" si="11"/>
        <v>27.698499060094264</v>
      </c>
    </row>
    <row r="31" spans="1:13" x14ac:dyDescent="0.25">
      <c r="A31" s="40">
        <f t="shared" si="12"/>
        <v>267</v>
      </c>
      <c r="B31" s="37" t="e">
        <f t="shared" si="0"/>
        <v>#N/A</v>
      </c>
      <c r="C31" s="1" t="e">
        <f t="shared" si="1"/>
        <v>#N/A</v>
      </c>
      <c r="D31" s="1" t="e">
        <f t="shared" si="2"/>
        <v>#N/A</v>
      </c>
      <c r="E31" s="1" t="e">
        <f t="shared" si="3"/>
        <v>#N/A</v>
      </c>
      <c r="F31" s="1" t="e">
        <f t="shared" si="4"/>
        <v>#N/A</v>
      </c>
      <c r="G31" s="38" t="e">
        <f t="shared" si="5"/>
        <v>#N/A</v>
      </c>
      <c r="H31" s="37">
        <f t="shared" si="6"/>
        <v>104999.99999999999</v>
      </c>
      <c r="I31" s="1">
        <f t="shared" si="7"/>
        <v>13108.614232209738</v>
      </c>
      <c r="J31" s="1">
        <f t="shared" si="8"/>
        <v>12500</v>
      </c>
      <c r="K31" s="1">
        <f t="shared" si="9"/>
        <v>125575.23332972413</v>
      </c>
      <c r="L31" s="1">
        <f t="shared" si="10"/>
        <v>50.394598008034365</v>
      </c>
      <c r="M31" s="38">
        <f t="shared" si="11"/>
        <v>27.695492751424013</v>
      </c>
    </row>
    <row r="32" spans="1:13" x14ac:dyDescent="0.25">
      <c r="A32" s="40">
        <f t="shared" si="12"/>
        <v>268</v>
      </c>
      <c r="B32" s="37" t="e">
        <f t="shared" si="0"/>
        <v>#N/A</v>
      </c>
      <c r="C32" s="1" t="e">
        <f t="shared" si="1"/>
        <v>#N/A</v>
      </c>
      <c r="D32" s="1" t="e">
        <f t="shared" si="2"/>
        <v>#N/A</v>
      </c>
      <c r="E32" s="1" t="e">
        <f t="shared" si="3"/>
        <v>#N/A</v>
      </c>
      <c r="F32" s="1" t="e">
        <f t="shared" si="4"/>
        <v>#N/A</v>
      </c>
      <c r="G32" s="38" t="e">
        <f t="shared" si="5"/>
        <v>#N/A</v>
      </c>
      <c r="H32" s="37">
        <f t="shared" si="6"/>
        <v>104999.99999999999</v>
      </c>
      <c r="I32" s="1">
        <f t="shared" si="7"/>
        <v>13059.701492537315</v>
      </c>
      <c r="J32" s="1">
        <f t="shared" si="8"/>
        <v>12500</v>
      </c>
      <c r="K32" s="1">
        <f t="shared" si="9"/>
        <v>125561.7528969397</v>
      </c>
      <c r="L32" s="1">
        <f t="shared" si="10"/>
        <v>50.389188175433354</v>
      </c>
      <c r="M32" s="38">
        <f t="shared" si="11"/>
        <v>27.692519655387738</v>
      </c>
    </row>
    <row r="33" spans="1:13" x14ac:dyDescent="0.25">
      <c r="A33" s="40">
        <f t="shared" si="12"/>
        <v>269</v>
      </c>
      <c r="B33" s="37" t="e">
        <f t="shared" si="0"/>
        <v>#N/A</v>
      </c>
      <c r="C33" s="1" t="e">
        <f t="shared" si="1"/>
        <v>#N/A</v>
      </c>
      <c r="D33" s="1" t="e">
        <f t="shared" si="2"/>
        <v>#N/A</v>
      </c>
      <c r="E33" s="1" t="e">
        <f t="shared" si="3"/>
        <v>#N/A</v>
      </c>
      <c r="F33" s="1" t="e">
        <f t="shared" si="4"/>
        <v>#N/A</v>
      </c>
      <c r="G33" s="38" t="e">
        <f t="shared" si="5"/>
        <v>#N/A</v>
      </c>
      <c r="H33" s="37">
        <f t="shared" si="6"/>
        <v>104999.99999999999</v>
      </c>
      <c r="I33" s="1">
        <f t="shared" si="7"/>
        <v>13011.152416356877</v>
      </c>
      <c r="J33" s="1">
        <f t="shared" si="8"/>
        <v>12500</v>
      </c>
      <c r="K33" s="1">
        <f t="shared" si="9"/>
        <v>125548.42085070243</v>
      </c>
      <c r="L33" s="1">
        <f t="shared" si="10"/>
        <v>50.383837891838922</v>
      </c>
      <c r="M33" s="38">
        <f t="shared" si="11"/>
        <v>27.689579285856773</v>
      </c>
    </row>
    <row r="34" spans="1:13" x14ac:dyDescent="0.25">
      <c r="A34" s="40">
        <f t="shared" si="12"/>
        <v>270</v>
      </c>
      <c r="B34" s="37" t="e">
        <f t="shared" si="0"/>
        <v>#N/A</v>
      </c>
      <c r="C34" s="1" t="e">
        <f t="shared" si="1"/>
        <v>#N/A</v>
      </c>
      <c r="D34" s="1" t="e">
        <f t="shared" si="2"/>
        <v>#N/A</v>
      </c>
      <c r="E34" s="1" t="e">
        <f t="shared" si="3"/>
        <v>#N/A</v>
      </c>
      <c r="F34" s="1" t="e">
        <f t="shared" si="4"/>
        <v>#N/A</v>
      </c>
      <c r="G34" s="38" t="e">
        <f t="shared" si="5"/>
        <v>#N/A</v>
      </c>
      <c r="H34" s="37">
        <f t="shared" si="6"/>
        <v>104999.99999999999</v>
      </c>
      <c r="I34" s="1">
        <f t="shared" si="7"/>
        <v>12962.962962962964</v>
      </c>
      <c r="J34" s="1">
        <f t="shared" si="8"/>
        <v>12500</v>
      </c>
      <c r="K34" s="1">
        <f t="shared" si="9"/>
        <v>125535.23502691317</v>
      </c>
      <c r="L34" s="1">
        <f t="shared" si="10"/>
        <v>50.378546288776406</v>
      </c>
      <c r="M34" s="38">
        <f t="shared" si="11"/>
        <v>27.68667116554122</v>
      </c>
    </row>
    <row r="35" spans="1:13" x14ac:dyDescent="0.25">
      <c r="A35" s="40">
        <f t="shared" si="12"/>
        <v>271</v>
      </c>
      <c r="B35" s="37" t="e">
        <f t="shared" si="0"/>
        <v>#N/A</v>
      </c>
      <c r="C35" s="1" t="e">
        <f t="shared" si="1"/>
        <v>#N/A</v>
      </c>
      <c r="D35" s="1" t="e">
        <f t="shared" si="2"/>
        <v>#N/A</v>
      </c>
      <c r="E35" s="1" t="e">
        <f t="shared" si="3"/>
        <v>#N/A</v>
      </c>
      <c r="F35" s="1" t="e">
        <f t="shared" si="4"/>
        <v>#N/A</v>
      </c>
      <c r="G35" s="38" t="e">
        <f t="shared" si="5"/>
        <v>#N/A</v>
      </c>
      <c r="H35" s="37">
        <f t="shared" si="6"/>
        <v>104999.99999999999</v>
      </c>
      <c r="I35" s="1">
        <f t="shared" si="7"/>
        <v>12915.129151291514</v>
      </c>
      <c r="J35" s="1">
        <f t="shared" si="8"/>
        <v>12500</v>
      </c>
      <c r="K35" s="1">
        <f t="shared" si="9"/>
        <v>125522.1933006797</v>
      </c>
      <c r="L35" s="1">
        <f t="shared" si="10"/>
        <v>50.373312513505283</v>
      </c>
      <c r="M35" s="38">
        <f t="shared" si="11"/>
        <v>27.683794825798202</v>
      </c>
    </row>
    <row r="36" spans="1:13" x14ac:dyDescent="0.25">
      <c r="A36" s="40">
        <f t="shared" si="12"/>
        <v>272</v>
      </c>
      <c r="B36" s="37" t="e">
        <f t="shared" ref="B36:B67" si="13">IF(Load_Case=1,3*(FL_SUS*H_STRB)/((L_STRB*0.001)^2),NA())</f>
        <v>#N/A</v>
      </c>
      <c r="C36" s="1" t="e">
        <f t="shared" ref="C36:C67" si="14">IF(Load_Case=1,(FC_SUS*H_STRB)/(L_STRB*A36*0.000001),NA())</f>
        <v>#N/A</v>
      </c>
      <c r="D36" s="1" t="e">
        <f t="shared" ref="D36:D67" si="15">IF(Load_Case=1,FA_SUS*1000/(2*L_STRB*0.001),NA())</f>
        <v>#N/A</v>
      </c>
      <c r="E36" s="1" t="e">
        <f t="shared" ref="E36:E67" si="16">IF(Load_Case=1,1.5*D36+SQRT((B36^2+(1.5*C36)^2)),NA())</f>
        <v>#N/A</v>
      </c>
      <c r="F36" s="1" t="e">
        <f t="shared" ref="F36:F67" si="17">IF(SL_STRB,(1.17*E36*SQRT(0.5*D*0.001))*0.000001/((tnet_STRB*0.001)^1.5),NA())</f>
        <v>#N/A</v>
      </c>
      <c r="G36" s="38" t="e">
        <f t="shared" ref="G36:G67" si="18">IF(SC_STRB,(0.643*E36*SQRT((D*0.5)*0.001))*0.000001/((tnet_STRB*0.001)^1.5),NA())</f>
        <v>#N/A</v>
      </c>
      <c r="H36" s="37">
        <f t="shared" ref="H36:H67" si="19">IF(Load_Case=2,3*(FL_EXP*H_STRB)/((L_STRB*0.001)^2),NA())</f>
        <v>104999.99999999999</v>
      </c>
      <c r="I36" s="1">
        <f t="shared" ref="I36:I67" si="20">IF(Load_Case=2,(FC_EXP*H_STRB)/(L_STRB*A36*0.000001),NA())</f>
        <v>12867.64705882353</v>
      </c>
      <c r="J36" s="1">
        <f t="shared" ref="J36:J67" si="21">IF(Load_Case=2,FA_EXP*1000/(2*L_STRB*0.001),NA())</f>
        <v>12500</v>
      </c>
      <c r="K36" s="1">
        <f t="shared" ref="K36:K67" si="22">IF(Load_Case=2,1.5*J36+SQRT((H36^2+(1.5*I36)^2)),NA())</f>
        <v>125509.29358546968</v>
      </c>
      <c r="L36" s="1">
        <f t="shared" ref="L36:L67" si="23">IF(SL_STRB,(1.17*K36*SQRT(0.5*D*0.001))*0.000001/((tnet_STRB*0.001)^1.5),NA())</f>
        <v>50.368135728679242</v>
      </c>
      <c r="M36" s="38">
        <f t="shared" ref="M36:M67" si="24">IF(SC_STRB,(0.643*K36*SQRT((D*0.5)*0.001))*0.000001/((tnet_STRB*0.001)^1.5),NA())</f>
        <v>27.680949806445085</v>
      </c>
    </row>
    <row r="37" spans="1:13" x14ac:dyDescent="0.25">
      <c r="A37" s="40">
        <f t="shared" ref="A37:A68" si="25">IF((A36+B_STRB_Increment)&gt;Max_STRB_B,NA(),A36+B_STRB_Increment)</f>
        <v>273</v>
      </c>
      <c r="B37" s="37" t="e">
        <f t="shared" si="13"/>
        <v>#N/A</v>
      </c>
      <c r="C37" s="1" t="e">
        <f t="shared" si="14"/>
        <v>#N/A</v>
      </c>
      <c r="D37" s="1" t="e">
        <f t="shared" si="15"/>
        <v>#N/A</v>
      </c>
      <c r="E37" s="1" t="e">
        <f t="shared" si="16"/>
        <v>#N/A</v>
      </c>
      <c r="F37" s="1" t="e">
        <f t="shared" si="17"/>
        <v>#N/A</v>
      </c>
      <c r="G37" s="38" t="e">
        <f t="shared" si="18"/>
        <v>#N/A</v>
      </c>
      <c r="H37" s="37">
        <f t="shared" si="19"/>
        <v>104999.99999999999</v>
      </c>
      <c r="I37" s="1">
        <f t="shared" si="20"/>
        <v>12820.512820512822</v>
      </c>
      <c r="J37" s="1">
        <f t="shared" si="21"/>
        <v>12500</v>
      </c>
      <c r="K37" s="1">
        <f t="shared" si="22"/>
        <v>125496.53383228467</v>
      </c>
      <c r="L37" s="1">
        <f t="shared" si="23"/>
        <v>50.363015112014715</v>
      </c>
      <c r="M37" s="38">
        <f t="shared" si="24"/>
        <v>27.678135655577321</v>
      </c>
    </row>
    <row r="38" spans="1:13" x14ac:dyDescent="0.25">
      <c r="A38" s="40">
        <f t="shared" si="25"/>
        <v>274</v>
      </c>
      <c r="B38" s="37" t="e">
        <f t="shared" si="13"/>
        <v>#N/A</v>
      </c>
      <c r="C38" s="1" t="e">
        <f t="shared" si="14"/>
        <v>#N/A</v>
      </c>
      <c r="D38" s="1" t="e">
        <f t="shared" si="15"/>
        <v>#N/A</v>
      </c>
      <c r="E38" s="1" t="e">
        <f t="shared" si="16"/>
        <v>#N/A</v>
      </c>
      <c r="F38" s="1" t="e">
        <f t="shared" si="17"/>
        <v>#N/A</v>
      </c>
      <c r="G38" s="38" t="e">
        <f t="shared" si="18"/>
        <v>#N/A</v>
      </c>
      <c r="H38" s="37">
        <f t="shared" si="19"/>
        <v>104999.99999999999</v>
      </c>
      <c r="I38" s="1">
        <f t="shared" si="20"/>
        <v>12773.722627737228</v>
      </c>
      <c r="J38" s="1">
        <f t="shared" si="21"/>
        <v>12500</v>
      </c>
      <c r="K38" s="1">
        <f t="shared" si="22"/>
        <v>125483.91202885483</v>
      </c>
      <c r="L38" s="1">
        <f t="shared" si="23"/>
        <v>50.357949855967654</v>
      </c>
      <c r="M38" s="38">
        <f t="shared" si="24"/>
        <v>27.675351929390779</v>
      </c>
    </row>
    <row r="39" spans="1:13" x14ac:dyDescent="0.25">
      <c r="A39" s="40">
        <f t="shared" si="25"/>
        <v>275</v>
      </c>
      <c r="B39" s="37" t="e">
        <f t="shared" si="13"/>
        <v>#N/A</v>
      </c>
      <c r="C39" s="1" t="e">
        <f t="shared" si="14"/>
        <v>#N/A</v>
      </c>
      <c r="D39" s="1" t="e">
        <f t="shared" si="15"/>
        <v>#N/A</v>
      </c>
      <c r="E39" s="1" t="e">
        <f t="shared" si="16"/>
        <v>#N/A</v>
      </c>
      <c r="F39" s="1" t="e">
        <f t="shared" si="17"/>
        <v>#N/A</v>
      </c>
      <c r="G39" s="38" t="e">
        <f t="shared" si="18"/>
        <v>#N/A</v>
      </c>
      <c r="H39" s="37">
        <f t="shared" si="19"/>
        <v>104999.99999999999</v>
      </c>
      <c r="I39" s="1">
        <f t="shared" si="20"/>
        <v>12727.272727272728</v>
      </c>
      <c r="J39" s="1">
        <f t="shared" si="21"/>
        <v>12500</v>
      </c>
      <c r="K39" s="1">
        <f t="shared" si="22"/>
        <v>125471.42619885357</v>
      </c>
      <c r="L39" s="1">
        <f t="shared" si="23"/>
        <v>50.352939167418441</v>
      </c>
      <c r="M39" s="38">
        <f t="shared" si="24"/>
        <v>27.6725981920086</v>
      </c>
    </row>
    <row r="40" spans="1:13" x14ac:dyDescent="0.25">
      <c r="A40" s="40">
        <f t="shared" si="25"/>
        <v>276</v>
      </c>
      <c r="B40" s="37" t="e">
        <f t="shared" si="13"/>
        <v>#N/A</v>
      </c>
      <c r="C40" s="1" t="e">
        <f t="shared" si="14"/>
        <v>#N/A</v>
      </c>
      <c r="D40" s="1" t="e">
        <f t="shared" si="15"/>
        <v>#N/A</v>
      </c>
      <c r="E40" s="1" t="e">
        <f t="shared" si="16"/>
        <v>#N/A</v>
      </c>
      <c r="F40" s="1" t="e">
        <f t="shared" si="17"/>
        <v>#N/A</v>
      </c>
      <c r="G40" s="38" t="e">
        <f t="shared" si="18"/>
        <v>#N/A</v>
      </c>
      <c r="H40" s="37">
        <f t="shared" si="19"/>
        <v>104999.99999999999</v>
      </c>
      <c r="I40" s="1">
        <f t="shared" si="20"/>
        <v>12681.159420289856</v>
      </c>
      <c r="J40" s="1">
        <f t="shared" si="21"/>
        <v>12500</v>
      </c>
      <c r="K40" s="1">
        <f t="shared" si="22"/>
        <v>125459.07440113193</v>
      </c>
      <c r="L40" s="1">
        <f t="shared" si="23"/>
        <v>50.347982267364557</v>
      </c>
      <c r="M40" s="38">
        <f t="shared" si="24"/>
        <v>27.669874015312324</v>
      </c>
    </row>
    <row r="41" spans="1:13" x14ac:dyDescent="0.25">
      <c r="A41" s="40">
        <f t="shared" si="25"/>
        <v>277</v>
      </c>
      <c r="B41" s="37" t="e">
        <f t="shared" si="13"/>
        <v>#N/A</v>
      </c>
      <c r="C41" s="1" t="e">
        <f t="shared" si="14"/>
        <v>#N/A</v>
      </c>
      <c r="D41" s="1" t="e">
        <f t="shared" si="15"/>
        <v>#N/A</v>
      </c>
      <c r="E41" s="1" t="e">
        <f t="shared" si="16"/>
        <v>#N/A</v>
      </c>
      <c r="F41" s="1" t="e">
        <f t="shared" si="17"/>
        <v>#N/A</v>
      </c>
      <c r="G41" s="38" t="e">
        <f t="shared" si="18"/>
        <v>#N/A</v>
      </c>
      <c r="H41" s="37">
        <f t="shared" si="19"/>
        <v>104999.99999999999</v>
      </c>
      <c r="I41" s="1">
        <f t="shared" si="20"/>
        <v>12635.379061371841</v>
      </c>
      <c r="J41" s="1">
        <f t="shared" si="21"/>
        <v>12500</v>
      </c>
      <c r="K41" s="1">
        <f t="shared" si="22"/>
        <v>125446.85472897148</v>
      </c>
      <c r="L41" s="1">
        <f t="shared" si="23"/>
        <v>50.343078390620818</v>
      </c>
      <c r="M41" s="38">
        <f t="shared" si="24"/>
        <v>27.667178978777081</v>
      </c>
    </row>
    <row r="42" spans="1:13" x14ac:dyDescent="0.25">
      <c r="A42" s="40">
        <f t="shared" si="25"/>
        <v>278</v>
      </c>
      <c r="B42" s="37" t="e">
        <f t="shared" si="13"/>
        <v>#N/A</v>
      </c>
      <c r="C42" s="1" t="e">
        <f t="shared" si="14"/>
        <v>#N/A</v>
      </c>
      <c r="D42" s="1" t="e">
        <f t="shared" si="15"/>
        <v>#N/A</v>
      </c>
      <c r="E42" s="1" t="e">
        <f t="shared" si="16"/>
        <v>#N/A</v>
      </c>
      <c r="F42" s="1" t="e">
        <f t="shared" si="17"/>
        <v>#N/A</v>
      </c>
      <c r="G42" s="38" t="e">
        <f t="shared" si="18"/>
        <v>#N/A</v>
      </c>
      <c r="H42" s="37">
        <f t="shared" si="19"/>
        <v>104999.99999999999</v>
      </c>
      <c r="I42" s="1">
        <f t="shared" si="20"/>
        <v>12589.928057553958</v>
      </c>
      <c r="J42" s="1">
        <f t="shared" si="21"/>
        <v>12500</v>
      </c>
      <c r="K42" s="1">
        <f t="shared" si="22"/>
        <v>125434.76530935596</v>
      </c>
      <c r="L42" s="1">
        <f t="shared" si="23"/>
        <v>50.338226785527041</v>
      </c>
      <c r="M42" s="38">
        <f t="shared" si="24"/>
        <v>27.664512669311016</v>
      </c>
    </row>
    <row r="43" spans="1:13" x14ac:dyDescent="0.25">
      <c r="A43" s="40">
        <f t="shared" si="25"/>
        <v>279</v>
      </c>
      <c r="B43" s="37" t="e">
        <f t="shared" si="13"/>
        <v>#N/A</v>
      </c>
      <c r="C43" s="1" t="e">
        <f t="shared" si="14"/>
        <v>#N/A</v>
      </c>
      <c r="D43" s="1" t="e">
        <f t="shared" si="15"/>
        <v>#N/A</v>
      </c>
      <c r="E43" s="1" t="e">
        <f t="shared" si="16"/>
        <v>#N/A</v>
      </c>
      <c r="F43" s="1" t="e">
        <f t="shared" si="17"/>
        <v>#N/A</v>
      </c>
      <c r="G43" s="38" t="e">
        <f t="shared" si="18"/>
        <v>#N/A</v>
      </c>
      <c r="H43" s="37">
        <f t="shared" si="19"/>
        <v>104999.99999999999</v>
      </c>
      <c r="I43" s="1">
        <f t="shared" si="20"/>
        <v>12544.802867383514</v>
      </c>
      <c r="J43" s="1">
        <f t="shared" si="21"/>
        <v>12500</v>
      </c>
      <c r="K43" s="1">
        <f t="shared" si="22"/>
        <v>125422.80430226067</v>
      </c>
      <c r="L43" s="1">
        <f t="shared" si="23"/>
        <v>50.333426713662902</v>
      </c>
      <c r="M43" s="38">
        <f t="shared" si="24"/>
        <v>27.661874681098507</v>
      </c>
    </row>
    <row r="44" spans="1:13" x14ac:dyDescent="0.25">
      <c r="A44" s="40">
        <f t="shared" si="25"/>
        <v>280</v>
      </c>
      <c r="B44" s="37" t="e">
        <f t="shared" si="13"/>
        <v>#N/A</v>
      </c>
      <c r="C44" s="1" t="e">
        <f t="shared" si="14"/>
        <v>#N/A</v>
      </c>
      <c r="D44" s="1" t="e">
        <f t="shared" si="15"/>
        <v>#N/A</v>
      </c>
      <c r="E44" s="1" t="e">
        <f t="shared" si="16"/>
        <v>#N/A</v>
      </c>
      <c r="F44" s="1" t="e">
        <f t="shared" si="17"/>
        <v>#N/A</v>
      </c>
      <c r="G44" s="38" t="e">
        <f t="shared" si="18"/>
        <v>#N/A</v>
      </c>
      <c r="H44" s="37">
        <f t="shared" si="19"/>
        <v>104999.99999999999</v>
      </c>
      <c r="I44" s="1">
        <f t="shared" si="20"/>
        <v>12500.000000000002</v>
      </c>
      <c r="J44" s="1">
        <f t="shared" si="21"/>
        <v>12500</v>
      </c>
      <c r="K44" s="1">
        <f t="shared" si="22"/>
        <v>125410.96989995916</v>
      </c>
      <c r="L44" s="1">
        <f t="shared" si="23"/>
        <v>50.328677449569689</v>
      </c>
      <c r="M44" s="38">
        <f t="shared" si="24"/>
        <v>27.659264615447277</v>
      </c>
    </row>
    <row r="45" spans="1:13" x14ac:dyDescent="0.25">
      <c r="A45" s="40">
        <f t="shared" si="25"/>
        <v>281</v>
      </c>
      <c r="B45" s="37" t="e">
        <f t="shared" si="13"/>
        <v>#N/A</v>
      </c>
      <c r="C45" s="1" t="e">
        <f t="shared" si="14"/>
        <v>#N/A</v>
      </c>
      <c r="D45" s="1" t="e">
        <f t="shared" si="15"/>
        <v>#N/A</v>
      </c>
      <c r="E45" s="1" t="e">
        <f t="shared" si="16"/>
        <v>#N/A</v>
      </c>
      <c r="F45" s="1" t="e">
        <f t="shared" si="17"/>
        <v>#N/A</v>
      </c>
      <c r="G45" s="38" t="e">
        <f t="shared" si="18"/>
        <v>#N/A</v>
      </c>
      <c r="H45" s="37">
        <f t="shared" si="19"/>
        <v>104999.99999999999</v>
      </c>
      <c r="I45" s="1">
        <f t="shared" si="20"/>
        <v>12455.516014234876</v>
      </c>
      <c r="J45" s="1">
        <f t="shared" si="21"/>
        <v>12500</v>
      </c>
      <c r="K45" s="1">
        <f t="shared" si="22"/>
        <v>125399.26032634701</v>
      </c>
      <c r="L45" s="1">
        <f t="shared" si="23"/>
        <v>50.323978280478919</v>
      </c>
      <c r="M45" s="38">
        <f t="shared" si="24"/>
        <v>27.656682080639268</v>
      </c>
    </row>
    <row r="46" spans="1:13" x14ac:dyDescent="0.25">
      <c r="A46" s="40">
        <f t="shared" si="25"/>
        <v>282</v>
      </c>
      <c r="B46" s="37" t="e">
        <f t="shared" si="13"/>
        <v>#N/A</v>
      </c>
      <c r="C46" s="1" t="e">
        <f t="shared" si="14"/>
        <v>#N/A</v>
      </c>
      <c r="D46" s="1" t="e">
        <f t="shared" si="15"/>
        <v>#N/A</v>
      </c>
      <c r="E46" s="1" t="e">
        <f t="shared" si="16"/>
        <v>#N/A</v>
      </c>
      <c r="F46" s="1" t="e">
        <f t="shared" si="17"/>
        <v>#N/A</v>
      </c>
      <c r="G46" s="38" t="e">
        <f t="shared" si="18"/>
        <v>#N/A</v>
      </c>
      <c r="H46" s="37">
        <f t="shared" si="19"/>
        <v>104999.99999999999</v>
      </c>
      <c r="I46" s="1">
        <f t="shared" si="20"/>
        <v>12411.347517730497</v>
      </c>
      <c r="J46" s="1">
        <f t="shared" si="21"/>
        <v>12500</v>
      </c>
      <c r="K46" s="1">
        <f t="shared" si="22"/>
        <v>125387.67383628177</v>
      </c>
      <c r="L46" s="1">
        <f t="shared" si="23"/>
        <v>50.319328506047448</v>
      </c>
      <c r="M46" s="38">
        <f t="shared" si="24"/>
        <v>27.654126691785056</v>
      </c>
    </row>
    <row r="47" spans="1:13" x14ac:dyDescent="0.25">
      <c r="A47" s="40">
        <f t="shared" si="25"/>
        <v>283</v>
      </c>
      <c r="B47" s="37" t="e">
        <f t="shared" si="13"/>
        <v>#N/A</v>
      </c>
      <c r="C47" s="1" t="e">
        <f t="shared" si="14"/>
        <v>#N/A</v>
      </c>
      <c r="D47" s="1" t="e">
        <f t="shared" si="15"/>
        <v>#N/A</v>
      </c>
      <c r="E47" s="1" t="e">
        <f t="shared" si="16"/>
        <v>#N/A</v>
      </c>
      <c r="F47" s="1" t="e">
        <f t="shared" si="17"/>
        <v>#N/A</v>
      </c>
      <c r="G47" s="38" t="e">
        <f t="shared" si="18"/>
        <v>#N/A</v>
      </c>
      <c r="H47" s="37">
        <f t="shared" si="19"/>
        <v>104999.99999999999</v>
      </c>
      <c r="I47" s="1">
        <f t="shared" si="20"/>
        <v>12367.49116607774</v>
      </c>
      <c r="J47" s="1">
        <f t="shared" si="21"/>
        <v>12500</v>
      </c>
      <c r="K47" s="1">
        <f t="shared" si="22"/>
        <v>125376.20871493917</v>
      </c>
      <c r="L47" s="1">
        <f t="shared" si="23"/>
        <v>50.314727438099155</v>
      </c>
      <c r="M47" s="38">
        <f t="shared" si="24"/>
        <v>27.651598070681846</v>
      </c>
    </row>
    <row r="48" spans="1:13" x14ac:dyDescent="0.25">
      <c r="A48" s="40">
        <f t="shared" si="25"/>
        <v>284</v>
      </c>
      <c r="B48" s="37" t="e">
        <f t="shared" si="13"/>
        <v>#N/A</v>
      </c>
      <c r="C48" s="1" t="e">
        <f t="shared" si="14"/>
        <v>#N/A</v>
      </c>
      <c r="D48" s="1" t="e">
        <f t="shared" si="15"/>
        <v>#N/A</v>
      </c>
      <c r="E48" s="1" t="e">
        <f t="shared" si="16"/>
        <v>#N/A</v>
      </c>
      <c r="F48" s="1" t="e">
        <f t="shared" si="17"/>
        <v>#N/A</v>
      </c>
      <c r="G48" s="38" t="e">
        <f t="shared" si="18"/>
        <v>#N/A</v>
      </c>
      <c r="H48" s="37">
        <f t="shared" si="19"/>
        <v>104999.99999999999</v>
      </c>
      <c r="I48" s="1">
        <f t="shared" si="20"/>
        <v>12323.943661971833</v>
      </c>
      <c r="J48" s="1">
        <f t="shared" si="21"/>
        <v>12500</v>
      </c>
      <c r="K48" s="1">
        <f t="shared" si="22"/>
        <v>125364.86327718463</v>
      </c>
      <c r="L48" s="1">
        <f t="shared" si="23"/>
        <v>50.310174400372645</v>
      </c>
      <c r="M48" s="38">
        <f t="shared" si="24"/>
        <v>27.649095845674882</v>
      </c>
    </row>
    <row r="49" spans="1:13" x14ac:dyDescent="0.25">
      <c r="A49" s="40">
        <f t="shared" si="25"/>
        <v>285</v>
      </c>
      <c r="B49" s="37" t="e">
        <f t="shared" si="13"/>
        <v>#N/A</v>
      </c>
      <c r="C49" s="1" t="e">
        <f t="shared" si="14"/>
        <v>#N/A</v>
      </c>
      <c r="D49" s="1" t="e">
        <f t="shared" si="15"/>
        <v>#N/A</v>
      </c>
      <c r="E49" s="1" t="e">
        <f t="shared" si="16"/>
        <v>#N/A</v>
      </c>
      <c r="F49" s="1" t="e">
        <f t="shared" si="17"/>
        <v>#N/A</v>
      </c>
      <c r="G49" s="38" t="e">
        <f t="shared" si="18"/>
        <v>#N/A</v>
      </c>
      <c r="H49" s="37">
        <f t="shared" si="19"/>
        <v>104999.99999999999</v>
      </c>
      <c r="I49" s="1">
        <f t="shared" si="20"/>
        <v>12280.701754385966</v>
      </c>
      <c r="J49" s="1">
        <f t="shared" si="21"/>
        <v>12500</v>
      </c>
      <c r="K49" s="1">
        <f t="shared" si="22"/>
        <v>125353.63586695999</v>
      </c>
      <c r="L49" s="1">
        <f t="shared" si="23"/>
        <v>50.305668728275208</v>
      </c>
      <c r="M49" s="38">
        <f t="shared" si="24"/>
        <v>27.64661965152219</v>
      </c>
    </row>
    <row r="50" spans="1:13" x14ac:dyDescent="0.25">
      <c r="A50" s="40">
        <f t="shared" si="25"/>
        <v>286</v>
      </c>
      <c r="B50" s="37" t="e">
        <f t="shared" si="13"/>
        <v>#N/A</v>
      </c>
      <c r="C50" s="1" t="e">
        <f t="shared" si="14"/>
        <v>#N/A</v>
      </c>
      <c r="D50" s="1" t="e">
        <f t="shared" si="15"/>
        <v>#N/A</v>
      </c>
      <c r="E50" s="1" t="e">
        <f t="shared" si="16"/>
        <v>#N/A</v>
      </c>
      <c r="F50" s="1" t="e">
        <f t="shared" si="17"/>
        <v>#N/A</v>
      </c>
      <c r="G50" s="38" t="e">
        <f t="shared" si="18"/>
        <v>#N/A</v>
      </c>
      <c r="H50" s="37">
        <f t="shared" si="19"/>
        <v>104999.99999999999</v>
      </c>
      <c r="I50" s="1">
        <f t="shared" si="20"/>
        <v>12237.762237762237</v>
      </c>
      <c r="J50" s="1">
        <f t="shared" si="21"/>
        <v>12500</v>
      </c>
      <c r="K50" s="1">
        <f t="shared" si="22"/>
        <v>125342.52485668493</v>
      </c>
      <c r="L50" s="1">
        <f t="shared" si="23"/>
        <v>50.301209768642593</v>
      </c>
      <c r="M50" s="38">
        <f t="shared" si="24"/>
        <v>27.644169129262551</v>
      </c>
    </row>
    <row r="51" spans="1:13" x14ac:dyDescent="0.25">
      <c r="A51" s="40">
        <f t="shared" si="25"/>
        <v>287</v>
      </c>
      <c r="B51" s="37" t="e">
        <f t="shared" si="13"/>
        <v>#N/A</v>
      </c>
      <c r="C51" s="1" t="e">
        <f t="shared" si="14"/>
        <v>#N/A</v>
      </c>
      <c r="D51" s="1" t="e">
        <f t="shared" si="15"/>
        <v>#N/A</v>
      </c>
      <c r="E51" s="1" t="e">
        <f t="shared" si="16"/>
        <v>#N/A</v>
      </c>
      <c r="F51" s="1" t="e">
        <f t="shared" si="17"/>
        <v>#N/A</v>
      </c>
      <c r="G51" s="38" t="e">
        <f t="shared" si="18"/>
        <v>#N/A</v>
      </c>
      <c r="H51" s="37">
        <f t="shared" si="19"/>
        <v>104999.99999999999</v>
      </c>
      <c r="I51" s="1">
        <f t="shared" si="20"/>
        <v>12195.121951219513</v>
      </c>
      <c r="J51" s="1">
        <f t="shared" si="21"/>
        <v>12500</v>
      </c>
      <c r="K51" s="1">
        <f t="shared" si="22"/>
        <v>125331.52864667267</v>
      </c>
      <c r="L51" s="1">
        <f t="shared" si="23"/>
        <v>50.296796879504456</v>
      </c>
      <c r="M51" s="38">
        <f t="shared" si="24"/>
        <v>27.641743926086637</v>
      </c>
    </row>
    <row r="52" spans="1:13" x14ac:dyDescent="0.25">
      <c r="A52" s="40">
        <f t="shared" si="25"/>
        <v>288</v>
      </c>
      <c r="B52" s="37" t="e">
        <f t="shared" si="13"/>
        <v>#N/A</v>
      </c>
      <c r="C52" s="1" t="e">
        <f t="shared" si="14"/>
        <v>#N/A</v>
      </c>
      <c r="D52" s="1" t="e">
        <f t="shared" si="15"/>
        <v>#N/A</v>
      </c>
      <c r="E52" s="1" t="e">
        <f t="shared" si="16"/>
        <v>#N/A</v>
      </c>
      <c r="F52" s="1" t="e">
        <f t="shared" si="17"/>
        <v>#N/A</v>
      </c>
      <c r="G52" s="38" t="e">
        <f t="shared" si="18"/>
        <v>#N/A</v>
      </c>
      <c r="H52" s="37">
        <f t="shared" si="19"/>
        <v>104999.99999999999</v>
      </c>
      <c r="I52" s="1">
        <f t="shared" si="20"/>
        <v>12152.777777777777</v>
      </c>
      <c r="J52" s="1">
        <f t="shared" si="21"/>
        <v>12500</v>
      </c>
      <c r="K52" s="1">
        <f t="shared" si="22"/>
        <v>125320.64566455956</v>
      </c>
      <c r="L52" s="1">
        <f t="shared" si="23"/>
        <v>50.292429429855531</v>
      </c>
      <c r="M52" s="38">
        <f t="shared" si="24"/>
        <v>27.639343695211206</v>
      </c>
    </row>
    <row r="53" spans="1:13" x14ac:dyDescent="0.25">
      <c r="A53" s="40">
        <f t="shared" si="25"/>
        <v>289</v>
      </c>
      <c r="B53" s="37" t="e">
        <f t="shared" si="13"/>
        <v>#N/A</v>
      </c>
      <c r="C53" s="1" t="e">
        <f t="shared" si="14"/>
        <v>#N/A</v>
      </c>
      <c r="D53" s="1" t="e">
        <f t="shared" si="15"/>
        <v>#N/A</v>
      </c>
      <c r="E53" s="1" t="e">
        <f t="shared" si="16"/>
        <v>#N/A</v>
      </c>
      <c r="F53" s="1" t="e">
        <f t="shared" si="17"/>
        <v>#N/A</v>
      </c>
      <c r="G53" s="38" t="e">
        <f t="shared" si="18"/>
        <v>#N/A</v>
      </c>
      <c r="H53" s="37">
        <f t="shared" si="19"/>
        <v>104999.99999999999</v>
      </c>
      <c r="I53" s="1">
        <f t="shared" si="20"/>
        <v>12110.726643598617</v>
      </c>
      <c r="J53" s="1">
        <f t="shared" si="21"/>
        <v>12500</v>
      </c>
      <c r="K53" s="1">
        <f t="shared" si="22"/>
        <v>125309.87436474823</v>
      </c>
      <c r="L53" s="1">
        <f t="shared" si="23"/>
        <v>50.288106799432136</v>
      </c>
      <c r="M53" s="38">
        <f t="shared" si="24"/>
        <v>27.636968095756298</v>
      </c>
    </row>
    <row r="54" spans="1:13" x14ac:dyDescent="0.25">
      <c r="A54" s="40">
        <f t="shared" si="25"/>
        <v>290</v>
      </c>
      <c r="B54" s="37" t="e">
        <f t="shared" si="13"/>
        <v>#N/A</v>
      </c>
      <c r="C54" s="1" t="e">
        <f t="shared" si="14"/>
        <v>#N/A</v>
      </c>
      <c r="D54" s="1" t="e">
        <f t="shared" si="15"/>
        <v>#N/A</v>
      </c>
      <c r="E54" s="1" t="e">
        <f t="shared" si="16"/>
        <v>#N/A</v>
      </c>
      <c r="F54" s="1" t="e">
        <f t="shared" si="17"/>
        <v>#N/A</v>
      </c>
      <c r="G54" s="38" t="e">
        <f t="shared" si="18"/>
        <v>#N/A</v>
      </c>
      <c r="H54" s="37">
        <f t="shared" si="19"/>
        <v>104999.99999999999</v>
      </c>
      <c r="I54" s="1">
        <f t="shared" si="20"/>
        <v>12068.96551724138</v>
      </c>
      <c r="J54" s="1">
        <f t="shared" si="21"/>
        <v>12500</v>
      </c>
      <c r="K54" s="1">
        <f t="shared" si="22"/>
        <v>125299.21322786392</v>
      </c>
      <c r="L54" s="1">
        <f t="shared" si="23"/>
        <v>50.283828378493972</v>
      </c>
      <c r="M54" s="38">
        <f t="shared" si="24"/>
        <v>27.634616792625323</v>
      </c>
    </row>
    <row r="55" spans="1:13" x14ac:dyDescent="0.25">
      <c r="A55" s="40">
        <f t="shared" si="25"/>
        <v>291</v>
      </c>
      <c r="B55" s="37" t="e">
        <f t="shared" si="13"/>
        <v>#N/A</v>
      </c>
      <c r="C55" s="1" t="e">
        <f t="shared" si="14"/>
        <v>#N/A</v>
      </c>
      <c r="D55" s="1" t="e">
        <f t="shared" si="15"/>
        <v>#N/A</v>
      </c>
      <c r="E55" s="1" t="e">
        <f t="shared" si="16"/>
        <v>#N/A</v>
      </c>
      <c r="F55" s="1" t="e">
        <f t="shared" si="17"/>
        <v>#N/A</v>
      </c>
      <c r="G55" s="38" t="e">
        <f t="shared" si="18"/>
        <v>#N/A</v>
      </c>
      <c r="H55" s="37">
        <f t="shared" si="19"/>
        <v>104999.99999999999</v>
      </c>
      <c r="I55" s="1">
        <f t="shared" si="20"/>
        <v>12027.491408934709</v>
      </c>
      <c r="J55" s="1">
        <f t="shared" si="21"/>
        <v>12500</v>
      </c>
      <c r="K55" s="1">
        <f t="shared" si="22"/>
        <v>125288.66076022353</v>
      </c>
      <c r="L55" s="1">
        <f t="shared" si="23"/>
        <v>50.279593567611052</v>
      </c>
      <c r="M55" s="38">
        <f t="shared" si="24"/>
        <v>27.632289456387955</v>
      </c>
    </row>
    <row r="56" spans="1:13" x14ac:dyDescent="0.25">
      <c r="A56" s="40">
        <f t="shared" si="25"/>
        <v>292</v>
      </c>
      <c r="B56" s="37" t="e">
        <f t="shared" si="13"/>
        <v>#N/A</v>
      </c>
      <c r="C56" s="1" t="e">
        <f t="shared" si="14"/>
        <v>#N/A</v>
      </c>
      <c r="D56" s="1" t="e">
        <f t="shared" si="15"/>
        <v>#N/A</v>
      </c>
      <c r="E56" s="1" t="e">
        <f t="shared" si="16"/>
        <v>#N/A</v>
      </c>
      <c r="F56" s="1" t="e">
        <f t="shared" si="17"/>
        <v>#N/A</v>
      </c>
      <c r="G56" s="38" t="e">
        <f t="shared" si="18"/>
        <v>#N/A</v>
      </c>
      <c r="H56" s="37">
        <f t="shared" si="19"/>
        <v>104999.99999999999</v>
      </c>
      <c r="I56" s="1">
        <f t="shared" si="20"/>
        <v>11986.301369863013</v>
      </c>
      <c r="J56" s="1">
        <f t="shared" si="21"/>
        <v>12500</v>
      </c>
      <c r="K56" s="1">
        <f t="shared" si="22"/>
        <v>125278.21549331732</v>
      </c>
      <c r="L56" s="1">
        <f t="shared" si="23"/>
        <v>50.275401777455706</v>
      </c>
      <c r="M56" s="38">
        <f t="shared" si="24"/>
        <v>27.629985763165834</v>
      </c>
    </row>
    <row r="57" spans="1:13" x14ac:dyDescent="0.25">
      <c r="A57" s="40">
        <f t="shared" si="25"/>
        <v>293</v>
      </c>
      <c r="B57" s="37" t="e">
        <f t="shared" si="13"/>
        <v>#N/A</v>
      </c>
      <c r="C57" s="1" t="e">
        <f t="shared" si="14"/>
        <v>#N/A</v>
      </c>
      <c r="D57" s="1" t="e">
        <f t="shared" si="15"/>
        <v>#N/A</v>
      </c>
      <c r="E57" s="1" t="e">
        <f t="shared" si="16"/>
        <v>#N/A</v>
      </c>
      <c r="F57" s="1" t="e">
        <f t="shared" si="17"/>
        <v>#N/A</v>
      </c>
      <c r="G57" s="38" t="e">
        <f t="shared" si="18"/>
        <v>#N/A</v>
      </c>
      <c r="H57" s="37">
        <f t="shared" si="19"/>
        <v>104999.99999999999</v>
      </c>
      <c r="I57" s="1">
        <f t="shared" si="20"/>
        <v>11945.392491467577</v>
      </c>
      <c r="J57" s="1">
        <f t="shared" si="21"/>
        <v>12500</v>
      </c>
      <c r="K57" s="1">
        <f t="shared" si="22"/>
        <v>125267.87598330254</v>
      </c>
      <c r="L57" s="1">
        <f t="shared" si="23"/>
        <v>50.271252428599432</v>
      </c>
      <c r="M57" s="38">
        <f t="shared" si="24"/>
        <v>27.627705394520884</v>
      </c>
    </row>
    <row r="58" spans="1:13" x14ac:dyDescent="0.25">
      <c r="A58" s="40">
        <f t="shared" si="25"/>
        <v>294</v>
      </c>
      <c r="B58" s="37" t="e">
        <f t="shared" si="13"/>
        <v>#N/A</v>
      </c>
      <c r="C58" s="1" t="e">
        <f t="shared" si="14"/>
        <v>#N/A</v>
      </c>
      <c r="D58" s="1" t="e">
        <f t="shared" si="15"/>
        <v>#N/A</v>
      </c>
      <c r="E58" s="1" t="e">
        <f t="shared" si="16"/>
        <v>#N/A</v>
      </c>
      <c r="F58" s="1" t="e">
        <f t="shared" si="17"/>
        <v>#N/A</v>
      </c>
      <c r="G58" s="38" t="e">
        <f t="shared" si="18"/>
        <v>#N/A</v>
      </c>
      <c r="H58" s="37">
        <f t="shared" si="19"/>
        <v>104999.99999999999</v>
      </c>
      <c r="I58" s="1">
        <f t="shared" si="20"/>
        <v>11904.761904761905</v>
      </c>
      <c r="J58" s="1">
        <f t="shared" si="21"/>
        <v>12500</v>
      </c>
      <c r="K58" s="1">
        <f t="shared" si="22"/>
        <v>125257.64081050901</v>
      </c>
      <c r="L58" s="1">
        <f t="shared" si="23"/>
        <v>50.267144951314322</v>
      </c>
      <c r="M58" s="38">
        <f t="shared" si="24"/>
        <v>27.625448037346253</v>
      </c>
    </row>
    <row r="59" spans="1:13" x14ac:dyDescent="0.25">
      <c r="A59" s="40">
        <f t="shared" si="25"/>
        <v>295</v>
      </c>
      <c r="B59" s="37" t="e">
        <f t="shared" si="13"/>
        <v>#N/A</v>
      </c>
      <c r="C59" s="1" t="e">
        <f t="shared" si="14"/>
        <v>#N/A</v>
      </c>
      <c r="D59" s="1" t="e">
        <f t="shared" si="15"/>
        <v>#N/A</v>
      </c>
      <c r="E59" s="1" t="e">
        <f t="shared" si="16"/>
        <v>#N/A</v>
      </c>
      <c r="F59" s="1" t="e">
        <f t="shared" si="17"/>
        <v>#N/A</v>
      </c>
      <c r="G59" s="38" t="e">
        <f t="shared" si="18"/>
        <v>#N/A</v>
      </c>
      <c r="H59" s="37">
        <f t="shared" si="19"/>
        <v>104999.99999999999</v>
      </c>
      <c r="I59" s="1">
        <f t="shared" si="20"/>
        <v>11864.406779661018</v>
      </c>
      <c r="J59" s="1">
        <f t="shared" si="21"/>
        <v>12500</v>
      </c>
      <c r="K59" s="1">
        <f t="shared" si="22"/>
        <v>125247.50857895619</v>
      </c>
      <c r="L59" s="1">
        <f t="shared" si="23"/>
        <v>50.263078785379456</v>
      </c>
      <c r="M59" s="38">
        <f t="shared" si="24"/>
        <v>27.623213383759822</v>
      </c>
    </row>
    <row r="60" spans="1:13" x14ac:dyDescent="0.25">
      <c r="A60" s="40">
        <f t="shared" si="25"/>
        <v>296</v>
      </c>
      <c r="B60" s="37" t="e">
        <f t="shared" si="13"/>
        <v>#N/A</v>
      </c>
      <c r="C60" s="1" t="e">
        <f t="shared" si="14"/>
        <v>#N/A</v>
      </c>
      <c r="D60" s="1" t="e">
        <f t="shared" si="15"/>
        <v>#N/A</v>
      </c>
      <c r="E60" s="1" t="e">
        <f t="shared" si="16"/>
        <v>#N/A</v>
      </c>
      <c r="F60" s="1" t="e">
        <f t="shared" si="17"/>
        <v>#N/A</v>
      </c>
      <c r="G60" s="38" t="e">
        <f t="shared" si="18"/>
        <v>#N/A</v>
      </c>
      <c r="H60" s="37">
        <f t="shared" si="19"/>
        <v>104999.99999999999</v>
      </c>
      <c r="I60" s="1">
        <f t="shared" si="20"/>
        <v>11824.324324324325</v>
      </c>
      <c r="J60" s="1">
        <f t="shared" si="21"/>
        <v>12500</v>
      </c>
      <c r="K60" s="1">
        <f t="shared" si="22"/>
        <v>125237.47791588133</v>
      </c>
      <c r="L60" s="1">
        <f t="shared" si="23"/>
        <v>50.259053379891384</v>
      </c>
      <c r="M60" s="38">
        <f t="shared" si="24"/>
        <v>27.621001131000142</v>
      </c>
    </row>
    <row r="61" spans="1:13" x14ac:dyDescent="0.25">
      <c r="A61" s="40">
        <f t="shared" si="25"/>
        <v>297</v>
      </c>
      <c r="B61" s="37" t="e">
        <f t="shared" si="13"/>
        <v>#N/A</v>
      </c>
      <c r="C61" s="1" t="e">
        <f t="shared" si="14"/>
        <v>#N/A</v>
      </c>
      <c r="D61" s="1" t="e">
        <f t="shared" si="15"/>
        <v>#N/A</v>
      </c>
      <c r="E61" s="1" t="e">
        <f t="shared" si="16"/>
        <v>#N/A</v>
      </c>
      <c r="F61" s="1" t="e">
        <f t="shared" si="17"/>
        <v>#N/A</v>
      </c>
      <c r="G61" s="38" t="e">
        <f t="shared" si="18"/>
        <v>#N/A</v>
      </c>
      <c r="H61" s="37">
        <f t="shared" si="19"/>
        <v>104999.99999999999</v>
      </c>
      <c r="I61" s="1">
        <f t="shared" si="20"/>
        <v>11784.511784511786</v>
      </c>
      <c r="J61" s="1">
        <f t="shared" si="21"/>
        <v>12500</v>
      </c>
      <c r="K61" s="1">
        <f t="shared" si="22"/>
        <v>125227.54747127873</v>
      </c>
      <c r="L61" s="1">
        <f t="shared" si="23"/>
        <v>50.255068193079303</v>
      </c>
      <c r="M61" s="38">
        <f t="shared" si="24"/>
        <v>27.618810981324785</v>
      </c>
    </row>
    <row r="62" spans="1:13" x14ac:dyDescent="0.25">
      <c r="A62" s="40">
        <f t="shared" si="25"/>
        <v>298</v>
      </c>
      <c r="B62" s="37" t="e">
        <f t="shared" si="13"/>
        <v>#N/A</v>
      </c>
      <c r="C62" s="1" t="e">
        <f t="shared" si="14"/>
        <v>#N/A</v>
      </c>
      <c r="D62" s="1" t="e">
        <f t="shared" si="15"/>
        <v>#N/A</v>
      </c>
      <c r="E62" s="1" t="e">
        <f t="shared" si="16"/>
        <v>#N/A</v>
      </c>
      <c r="F62" s="1" t="e">
        <f t="shared" si="17"/>
        <v>#N/A</v>
      </c>
      <c r="G62" s="38" t="e">
        <f t="shared" si="18"/>
        <v>#N/A</v>
      </c>
      <c r="H62" s="37">
        <f t="shared" si="19"/>
        <v>104999.99999999999</v>
      </c>
      <c r="I62" s="1">
        <f t="shared" si="20"/>
        <v>11744.96644295302</v>
      </c>
      <c r="J62" s="1">
        <f t="shared" si="21"/>
        <v>12500</v>
      </c>
      <c r="K62" s="1">
        <f t="shared" si="22"/>
        <v>125217.71591744939</v>
      </c>
      <c r="L62" s="1">
        <f t="shared" si="23"/>
        <v>50.251122692124319</v>
      </c>
      <c r="M62" s="38">
        <f t="shared" si="24"/>
        <v>27.616642641911067</v>
      </c>
    </row>
    <row r="63" spans="1:13" x14ac:dyDescent="0.25">
      <c r="A63" s="40">
        <f t="shared" si="25"/>
        <v>299</v>
      </c>
      <c r="B63" s="37" t="e">
        <f t="shared" si="13"/>
        <v>#N/A</v>
      </c>
      <c r="C63" s="1" t="e">
        <f t="shared" si="14"/>
        <v>#N/A</v>
      </c>
      <c r="D63" s="1" t="e">
        <f t="shared" si="15"/>
        <v>#N/A</v>
      </c>
      <c r="E63" s="1" t="e">
        <f t="shared" si="16"/>
        <v>#N/A</v>
      </c>
      <c r="F63" s="1" t="e">
        <f t="shared" si="17"/>
        <v>#N/A</v>
      </c>
      <c r="G63" s="38" t="e">
        <f t="shared" si="18"/>
        <v>#N/A</v>
      </c>
      <c r="H63" s="37">
        <f t="shared" si="19"/>
        <v>104999.99999999999</v>
      </c>
      <c r="I63" s="1">
        <f t="shared" si="20"/>
        <v>11705.685618729098</v>
      </c>
      <c r="J63" s="1">
        <f t="shared" si="21"/>
        <v>12500</v>
      </c>
      <c r="K63" s="1">
        <f t="shared" si="22"/>
        <v>125207.98194856114</v>
      </c>
      <c r="L63" s="1">
        <f t="shared" si="23"/>
        <v>50.247216352982939</v>
      </c>
      <c r="M63" s="38">
        <f t="shared" si="24"/>
        <v>27.614495824758993</v>
      </c>
    </row>
    <row r="64" spans="1:13" x14ac:dyDescent="0.25">
      <c r="A64" s="40">
        <f t="shared" si="25"/>
        <v>300</v>
      </c>
      <c r="B64" s="37" t="e">
        <f t="shared" si="13"/>
        <v>#N/A</v>
      </c>
      <c r="C64" s="1" t="e">
        <f t="shared" si="14"/>
        <v>#N/A</v>
      </c>
      <c r="D64" s="1" t="e">
        <f t="shared" si="15"/>
        <v>#N/A</v>
      </c>
      <c r="E64" s="1" t="e">
        <f t="shared" si="16"/>
        <v>#N/A</v>
      </c>
      <c r="F64" s="1" t="e">
        <f t="shared" si="17"/>
        <v>#N/A</v>
      </c>
      <c r="G64" s="38" t="e">
        <f t="shared" si="18"/>
        <v>#N/A</v>
      </c>
      <c r="H64" s="37">
        <f t="shared" si="19"/>
        <v>104999.99999999999</v>
      </c>
      <c r="I64" s="1">
        <f t="shared" si="20"/>
        <v>11666.666666666668</v>
      </c>
      <c r="J64" s="1">
        <f t="shared" si="21"/>
        <v>12500</v>
      </c>
      <c r="K64" s="1">
        <f t="shared" si="22"/>
        <v>125198.34428021882</v>
      </c>
      <c r="L64" s="1">
        <f t="shared" si="23"/>
        <v>50.24334866021448</v>
      </c>
      <c r="M64" s="38">
        <f t="shared" si="24"/>
        <v>27.612370246596509</v>
      </c>
    </row>
    <row r="65" spans="1:13" x14ac:dyDescent="0.25">
      <c r="A65" s="40">
        <f t="shared" si="25"/>
        <v>301</v>
      </c>
      <c r="B65" s="37" t="e">
        <f t="shared" si="13"/>
        <v>#N/A</v>
      </c>
      <c r="C65" s="1" t="e">
        <f t="shared" si="14"/>
        <v>#N/A</v>
      </c>
      <c r="D65" s="1" t="e">
        <f t="shared" si="15"/>
        <v>#N/A</v>
      </c>
      <c r="E65" s="1" t="e">
        <f t="shared" si="16"/>
        <v>#N/A</v>
      </c>
      <c r="F65" s="1" t="e">
        <f t="shared" si="17"/>
        <v>#N/A</v>
      </c>
      <c r="G65" s="38" t="e">
        <f t="shared" si="18"/>
        <v>#N/A</v>
      </c>
      <c r="H65" s="37">
        <f t="shared" si="19"/>
        <v>104999.99999999999</v>
      </c>
      <c r="I65" s="1">
        <f t="shared" si="20"/>
        <v>11627.906976744187</v>
      </c>
      <c r="J65" s="1">
        <f t="shared" si="21"/>
        <v>12500</v>
      </c>
      <c r="K65" s="1">
        <f t="shared" si="22"/>
        <v>125188.80164904424</v>
      </c>
      <c r="L65" s="1">
        <f t="shared" si="23"/>
        <v>50.239519106812665</v>
      </c>
      <c r="M65" s="38">
        <f t="shared" si="24"/>
        <v>27.610265628786792</v>
      </c>
    </row>
    <row r="66" spans="1:13" x14ac:dyDescent="0.25">
      <c r="A66" s="40">
        <f t="shared" si="25"/>
        <v>302</v>
      </c>
      <c r="B66" s="37" t="e">
        <f t="shared" si="13"/>
        <v>#N/A</v>
      </c>
      <c r="C66" s="1" t="e">
        <f t="shared" si="14"/>
        <v>#N/A</v>
      </c>
      <c r="D66" s="1" t="e">
        <f t="shared" si="15"/>
        <v>#N/A</v>
      </c>
      <c r="E66" s="1" t="e">
        <f t="shared" si="16"/>
        <v>#N/A</v>
      </c>
      <c r="F66" s="1" t="e">
        <f t="shared" si="17"/>
        <v>#N/A</v>
      </c>
      <c r="G66" s="38" t="e">
        <f t="shared" si="18"/>
        <v>#N/A</v>
      </c>
      <c r="H66" s="37">
        <f t="shared" si="19"/>
        <v>104999.99999999999</v>
      </c>
      <c r="I66" s="1">
        <f t="shared" si="20"/>
        <v>11589.403973509934</v>
      </c>
      <c r="J66" s="1">
        <f t="shared" si="21"/>
        <v>12500</v>
      </c>
      <c r="K66" s="1">
        <f t="shared" si="22"/>
        <v>125179.35281226563</v>
      </c>
      <c r="L66" s="1">
        <f t="shared" si="23"/>
        <v>50.235727194040727</v>
      </c>
      <c r="M66" s="38">
        <f t="shared" si="24"/>
        <v>27.608181697237772</v>
      </c>
    </row>
    <row r="67" spans="1:13" x14ac:dyDescent="0.25">
      <c r="A67" s="40">
        <f t="shared" si="25"/>
        <v>303</v>
      </c>
      <c r="B67" s="37" t="e">
        <f t="shared" si="13"/>
        <v>#N/A</v>
      </c>
      <c r="C67" s="1" t="e">
        <f t="shared" si="14"/>
        <v>#N/A</v>
      </c>
      <c r="D67" s="1" t="e">
        <f t="shared" si="15"/>
        <v>#N/A</v>
      </c>
      <c r="E67" s="1" t="e">
        <f t="shared" si="16"/>
        <v>#N/A</v>
      </c>
      <c r="F67" s="1" t="e">
        <f t="shared" si="17"/>
        <v>#N/A</v>
      </c>
      <c r="G67" s="38" t="e">
        <f t="shared" si="18"/>
        <v>#N/A</v>
      </c>
      <c r="H67" s="37">
        <f t="shared" si="19"/>
        <v>104999.99999999999</v>
      </c>
      <c r="I67" s="1">
        <f t="shared" si="20"/>
        <v>11551.155115511552</v>
      </c>
      <c r="J67" s="1">
        <f t="shared" si="21"/>
        <v>12500</v>
      </c>
      <c r="K67" s="1">
        <f t="shared" si="22"/>
        <v>125169.99654731655</v>
      </c>
      <c r="L67" s="1">
        <f t="shared" si="23"/>
        <v>50.231972431270528</v>
      </c>
      <c r="M67" s="38">
        <f t="shared" si="24"/>
        <v>27.606118182313633</v>
      </c>
    </row>
    <row r="68" spans="1:13" x14ac:dyDescent="0.25">
      <c r="A68" s="40">
        <f t="shared" si="25"/>
        <v>304</v>
      </c>
      <c r="B68" s="37" t="e">
        <f t="shared" ref="B68:B99" si="26">IF(Load_Case=1,3*(FL_SUS*H_STRB)/((L_STRB*0.001)^2),NA())</f>
        <v>#N/A</v>
      </c>
      <c r="C68" s="1" t="e">
        <f t="shared" ref="C68:C99" si="27">IF(Load_Case=1,(FC_SUS*H_STRB)/(L_STRB*A68*0.000001),NA())</f>
        <v>#N/A</v>
      </c>
      <c r="D68" s="1" t="e">
        <f t="shared" ref="D68:D99" si="28">IF(Load_Case=1,FA_SUS*1000/(2*L_STRB*0.001),NA())</f>
        <v>#N/A</v>
      </c>
      <c r="E68" s="1" t="e">
        <f t="shared" ref="E68:E99" si="29">IF(Load_Case=1,1.5*D68+SQRT((B68^2+(1.5*C68)^2)),NA())</f>
        <v>#N/A</v>
      </c>
      <c r="F68" s="1" t="e">
        <f t="shared" ref="F68:F99" si="30">IF(SL_STRB,(1.17*E68*SQRT(0.5*D*0.001))*0.000001/((tnet_STRB*0.001)^1.5),NA())</f>
        <v>#N/A</v>
      </c>
      <c r="G68" s="38" t="e">
        <f t="shared" ref="G68:G99" si="31">IF(SC_STRB,(0.643*E68*SQRT((D*0.5)*0.001))*0.000001/((tnet_STRB*0.001)^1.5),NA())</f>
        <v>#N/A</v>
      </c>
      <c r="H68" s="37">
        <f t="shared" ref="H68:H99" si="32">IF(Load_Case=2,3*(FL_EXP*H_STRB)/((L_STRB*0.001)^2),NA())</f>
        <v>104999.99999999999</v>
      </c>
      <c r="I68" s="1">
        <f t="shared" ref="I68:I99" si="33">IF(Load_Case=2,(FC_EXP*H_STRB)/(L_STRB*A68*0.000001),NA())</f>
        <v>11513.157894736842</v>
      </c>
      <c r="J68" s="1">
        <f t="shared" ref="J68:J99" si="34">IF(Load_Case=2,FA_EXP*1000/(2*L_STRB*0.001),NA())</f>
        <v>12500</v>
      </c>
      <c r="K68" s="1">
        <f t="shared" ref="K68:K99" si="35">IF(Load_Case=2,1.5*J68+SQRT((H68^2+(1.5*I68)^2)),NA())</f>
        <v>125160.73165144371</v>
      </c>
      <c r="L68" s="1">
        <f t="shared" ref="L68:L99" si="36">IF(SL_STRB,(1.17*K68*SQRT(0.5*D*0.001))*0.000001/((tnet_STRB*0.001)^1.5),NA())</f>
        <v>50.228254335825135</v>
      </c>
      <c r="M68" s="38">
        <f t="shared" ref="M68:M99" si="37">IF(SC_STRB,(0.643*K68*SQRT((D*0.5)*0.001))*0.000001/((tnet_STRB*0.001)^1.5),NA())</f>
        <v>27.604074818748348</v>
      </c>
    </row>
    <row r="69" spans="1:13" x14ac:dyDescent="0.25">
      <c r="A69" s="40">
        <f t="shared" ref="A69:A100" si="38">IF((A68+B_STRB_Increment)&gt;Max_STRB_B,NA(),A68+B_STRB_Increment)</f>
        <v>305</v>
      </c>
      <c r="B69" s="37" t="e">
        <f t="shared" si="26"/>
        <v>#N/A</v>
      </c>
      <c r="C69" s="1" t="e">
        <f t="shared" si="27"/>
        <v>#N/A</v>
      </c>
      <c r="D69" s="1" t="e">
        <f t="shared" si="28"/>
        <v>#N/A</v>
      </c>
      <c r="E69" s="1" t="e">
        <f t="shared" si="29"/>
        <v>#N/A</v>
      </c>
      <c r="F69" s="1" t="e">
        <f t="shared" si="30"/>
        <v>#N/A</v>
      </c>
      <c r="G69" s="38" t="e">
        <f t="shared" si="31"/>
        <v>#N/A</v>
      </c>
      <c r="H69" s="37">
        <f t="shared" si="32"/>
        <v>104999.99999999999</v>
      </c>
      <c r="I69" s="1">
        <f t="shared" si="33"/>
        <v>11475.409836065573</v>
      </c>
      <c r="J69" s="1">
        <f t="shared" si="34"/>
        <v>12500</v>
      </c>
      <c r="K69" s="1">
        <f t="shared" si="35"/>
        <v>125151.55694132372</v>
      </c>
      <c r="L69" s="1">
        <f t="shared" si="36"/>
        <v>50.224572432825028</v>
      </c>
      <c r="M69" s="38">
        <f t="shared" si="37"/>
        <v>27.602051345561105</v>
      </c>
    </row>
    <row r="70" spans="1:13" x14ac:dyDescent="0.25">
      <c r="A70" s="40">
        <f t="shared" si="38"/>
        <v>306</v>
      </c>
      <c r="B70" s="37" t="e">
        <f t="shared" si="26"/>
        <v>#N/A</v>
      </c>
      <c r="C70" s="1" t="e">
        <f t="shared" si="27"/>
        <v>#N/A</v>
      </c>
      <c r="D70" s="1" t="e">
        <f t="shared" si="28"/>
        <v>#N/A</v>
      </c>
      <c r="E70" s="1" t="e">
        <f t="shared" si="29"/>
        <v>#N/A</v>
      </c>
      <c r="F70" s="1" t="e">
        <f t="shared" si="30"/>
        <v>#N/A</v>
      </c>
      <c r="G70" s="38" t="e">
        <f t="shared" si="31"/>
        <v>#N/A</v>
      </c>
      <c r="H70" s="37">
        <f t="shared" si="32"/>
        <v>104999.99999999999</v>
      </c>
      <c r="I70" s="1">
        <f t="shared" si="33"/>
        <v>11437.908496732027</v>
      </c>
      <c r="J70" s="1">
        <f t="shared" si="34"/>
        <v>12500</v>
      </c>
      <c r="K70" s="1">
        <f t="shared" si="35"/>
        <v>125142.47125268841</v>
      </c>
      <c r="L70" s="1">
        <f t="shared" si="36"/>
        <v>50.22092625503771</v>
      </c>
      <c r="M70" s="38">
        <f t="shared" si="37"/>
        <v>27.60004750597372</v>
      </c>
    </row>
    <row r="71" spans="1:13" x14ac:dyDescent="0.25">
      <c r="A71" s="40">
        <f t="shared" si="38"/>
        <v>307</v>
      </c>
      <c r="B71" s="37" t="e">
        <f t="shared" si="26"/>
        <v>#N/A</v>
      </c>
      <c r="C71" s="1" t="e">
        <f t="shared" si="27"/>
        <v>#N/A</v>
      </c>
      <c r="D71" s="1" t="e">
        <f t="shared" si="28"/>
        <v>#N/A</v>
      </c>
      <c r="E71" s="1" t="e">
        <f t="shared" si="29"/>
        <v>#N/A</v>
      </c>
      <c r="F71" s="1" t="e">
        <f t="shared" si="30"/>
        <v>#N/A</v>
      </c>
      <c r="G71" s="38" t="e">
        <f t="shared" si="31"/>
        <v>#N/A</v>
      </c>
      <c r="H71" s="37">
        <f t="shared" si="32"/>
        <v>104999.99999999999</v>
      </c>
      <c r="I71" s="1">
        <f t="shared" si="33"/>
        <v>11400.651465798046</v>
      </c>
      <c r="J71" s="1">
        <f t="shared" si="34"/>
        <v>12500</v>
      </c>
      <c r="K71" s="1">
        <f t="shared" si="35"/>
        <v>125133.47343995848</v>
      </c>
      <c r="L71" s="1">
        <f t="shared" si="36"/>
        <v>50.217315342730785</v>
      </c>
      <c r="M71" s="38">
        <f t="shared" si="37"/>
        <v>27.59806304732982</v>
      </c>
    </row>
    <row r="72" spans="1:13" x14ac:dyDescent="0.25">
      <c r="A72" s="40">
        <f t="shared" si="38"/>
        <v>308</v>
      </c>
      <c r="B72" s="37" t="e">
        <f t="shared" si="26"/>
        <v>#N/A</v>
      </c>
      <c r="C72" s="1" t="e">
        <f t="shared" si="27"/>
        <v>#N/A</v>
      </c>
      <c r="D72" s="1" t="e">
        <f t="shared" si="28"/>
        <v>#N/A</v>
      </c>
      <c r="E72" s="1" t="e">
        <f t="shared" si="29"/>
        <v>#N/A</v>
      </c>
      <c r="F72" s="1" t="e">
        <f t="shared" si="30"/>
        <v>#N/A</v>
      </c>
      <c r="G72" s="38" t="e">
        <f t="shared" si="31"/>
        <v>#N/A</v>
      </c>
      <c r="H72" s="37">
        <f t="shared" si="32"/>
        <v>104999.99999999999</v>
      </c>
      <c r="I72" s="1">
        <f t="shared" si="33"/>
        <v>11363.636363636364</v>
      </c>
      <c r="J72" s="1">
        <f t="shared" si="34"/>
        <v>12500</v>
      </c>
      <c r="K72" s="1">
        <f t="shared" si="35"/>
        <v>125124.56237588549</v>
      </c>
      <c r="L72" s="1">
        <f t="shared" si="36"/>
        <v>50.213739243528124</v>
      </c>
      <c r="M72" s="38">
        <f t="shared" si="37"/>
        <v>27.596097721015894</v>
      </c>
    </row>
    <row r="73" spans="1:13" x14ac:dyDescent="0.25">
      <c r="A73" s="40">
        <f t="shared" si="38"/>
        <v>309</v>
      </c>
      <c r="B73" s="37" t="e">
        <f t="shared" si="26"/>
        <v>#N/A</v>
      </c>
      <c r="C73" s="1" t="e">
        <f t="shared" si="27"/>
        <v>#N/A</v>
      </c>
      <c r="D73" s="1" t="e">
        <f t="shared" si="28"/>
        <v>#N/A</v>
      </c>
      <c r="E73" s="1" t="e">
        <f t="shared" si="29"/>
        <v>#N/A</v>
      </c>
      <c r="F73" s="1" t="e">
        <f t="shared" si="30"/>
        <v>#N/A</v>
      </c>
      <c r="G73" s="38" t="e">
        <f t="shared" si="31"/>
        <v>#N/A</v>
      </c>
      <c r="H73" s="37">
        <f t="shared" si="32"/>
        <v>104999.99999999999</v>
      </c>
      <c r="I73" s="1">
        <f t="shared" si="33"/>
        <v>11326.86084142395</v>
      </c>
      <c r="J73" s="1">
        <f t="shared" si="34"/>
        <v>12500</v>
      </c>
      <c r="K73" s="1">
        <f t="shared" si="35"/>
        <v>125115.73695120157</v>
      </c>
      <c r="L73" s="1">
        <f t="shared" si="36"/>
        <v>50.210197512269474</v>
      </c>
      <c r="M73" s="38">
        <f t="shared" si="37"/>
        <v>27.594151282383997</v>
      </c>
    </row>
    <row r="74" spans="1:13" x14ac:dyDescent="0.25">
      <c r="A74" s="40">
        <f t="shared" si="38"/>
        <v>310</v>
      </c>
      <c r="B74" s="37" t="e">
        <f t="shared" si="26"/>
        <v>#N/A</v>
      </c>
      <c r="C74" s="1" t="e">
        <f t="shared" si="27"/>
        <v>#N/A</v>
      </c>
      <c r="D74" s="1" t="e">
        <f t="shared" si="28"/>
        <v>#N/A</v>
      </c>
      <c r="E74" s="1" t="e">
        <f t="shared" si="29"/>
        <v>#N/A</v>
      </c>
      <c r="F74" s="1" t="e">
        <f t="shared" si="30"/>
        <v>#N/A</v>
      </c>
      <c r="G74" s="38" t="e">
        <f t="shared" si="31"/>
        <v>#N/A</v>
      </c>
      <c r="H74" s="37">
        <f t="shared" si="32"/>
        <v>104999.99999999999</v>
      </c>
      <c r="I74" s="1">
        <f t="shared" si="33"/>
        <v>11290.322580645161</v>
      </c>
      <c r="J74" s="1">
        <f t="shared" si="34"/>
        <v>12500</v>
      </c>
      <c r="K74" s="1">
        <f t="shared" si="35"/>
        <v>125106.99607427715</v>
      </c>
      <c r="L74" s="1">
        <f t="shared" si="36"/>
        <v>50.206689710872944</v>
      </c>
      <c r="M74" s="38">
        <f t="shared" si="37"/>
        <v>27.592223490676329</v>
      </c>
    </row>
    <row r="75" spans="1:13" x14ac:dyDescent="0.25">
      <c r="A75" s="40">
        <f t="shared" si="38"/>
        <v>311</v>
      </c>
      <c r="B75" s="37" t="e">
        <f t="shared" si="26"/>
        <v>#N/A</v>
      </c>
      <c r="C75" s="1" t="e">
        <f t="shared" si="27"/>
        <v>#N/A</v>
      </c>
      <c r="D75" s="1" t="e">
        <f t="shared" si="28"/>
        <v>#N/A</v>
      </c>
      <c r="E75" s="1" t="e">
        <f t="shared" si="29"/>
        <v>#N/A</v>
      </c>
      <c r="F75" s="1" t="e">
        <f t="shared" si="30"/>
        <v>#N/A</v>
      </c>
      <c r="G75" s="38" t="e">
        <f t="shared" si="31"/>
        <v>#N/A</v>
      </c>
      <c r="H75" s="37">
        <f t="shared" si="32"/>
        <v>104999.99999999999</v>
      </c>
      <c r="I75" s="1">
        <f t="shared" si="33"/>
        <v>11254.019292604502</v>
      </c>
      <c r="J75" s="1">
        <f t="shared" si="34"/>
        <v>12500</v>
      </c>
      <c r="K75" s="1">
        <f t="shared" si="35"/>
        <v>125098.33867078603</v>
      </c>
      <c r="L75" s="1">
        <f t="shared" si="36"/>
        <v>50.203215408200684</v>
      </c>
      <c r="M75" s="38">
        <f t="shared" si="37"/>
        <v>27.590314108951311</v>
      </c>
    </row>
    <row r="76" spans="1:13" x14ac:dyDescent="0.25">
      <c r="A76" s="40">
        <f t="shared" si="38"/>
        <v>312</v>
      </c>
      <c r="B76" s="37" t="e">
        <f t="shared" si="26"/>
        <v>#N/A</v>
      </c>
      <c r="C76" s="1" t="e">
        <f t="shared" si="27"/>
        <v>#N/A</v>
      </c>
      <c r="D76" s="1" t="e">
        <f t="shared" si="28"/>
        <v>#N/A</v>
      </c>
      <c r="E76" s="1" t="e">
        <f t="shared" si="29"/>
        <v>#N/A</v>
      </c>
      <c r="F76" s="1" t="e">
        <f t="shared" si="30"/>
        <v>#N/A</v>
      </c>
      <c r="G76" s="38" t="e">
        <f t="shared" si="31"/>
        <v>#N/A</v>
      </c>
      <c r="H76" s="37">
        <f t="shared" si="32"/>
        <v>104999.99999999999</v>
      </c>
      <c r="I76" s="1">
        <f t="shared" si="33"/>
        <v>11217.948717948719</v>
      </c>
      <c r="J76" s="1">
        <f t="shared" si="34"/>
        <v>12500</v>
      </c>
      <c r="K76" s="1">
        <f t="shared" si="35"/>
        <v>125089.76368337803</v>
      </c>
      <c r="L76" s="1">
        <f t="shared" si="36"/>
        <v>50.199774179927459</v>
      </c>
      <c r="M76" s="38">
        <f t="shared" si="37"/>
        <v>27.58842290401142</v>
      </c>
    </row>
    <row r="77" spans="1:13" x14ac:dyDescent="0.25">
      <c r="A77" s="40">
        <f t="shared" si="38"/>
        <v>313</v>
      </c>
      <c r="B77" s="37" t="e">
        <f t="shared" si="26"/>
        <v>#N/A</v>
      </c>
      <c r="C77" s="1" t="e">
        <f t="shared" si="27"/>
        <v>#N/A</v>
      </c>
      <c r="D77" s="1" t="e">
        <f t="shared" si="28"/>
        <v>#N/A</v>
      </c>
      <c r="E77" s="1" t="e">
        <f t="shared" si="29"/>
        <v>#N/A</v>
      </c>
      <c r="F77" s="1" t="e">
        <f t="shared" si="30"/>
        <v>#N/A</v>
      </c>
      <c r="G77" s="38" t="e">
        <f t="shared" si="31"/>
        <v>#N/A</v>
      </c>
      <c r="H77" s="37">
        <f t="shared" si="32"/>
        <v>104999.99999999999</v>
      </c>
      <c r="I77" s="1">
        <f t="shared" si="33"/>
        <v>11182.108626198082</v>
      </c>
      <c r="J77" s="1">
        <f t="shared" si="34"/>
        <v>12500</v>
      </c>
      <c r="K77" s="1">
        <f t="shared" si="35"/>
        <v>125081.27007135862</v>
      </c>
      <c r="L77" s="1">
        <f t="shared" si="36"/>
        <v>50.196365608412172</v>
      </c>
      <c r="M77" s="38">
        <f t="shared" si="37"/>
        <v>27.5865496463325</v>
      </c>
    </row>
    <row r="78" spans="1:13" x14ac:dyDescent="0.25">
      <c r="A78" s="40">
        <f t="shared" si="38"/>
        <v>314</v>
      </c>
      <c r="B78" s="37" t="e">
        <f t="shared" si="26"/>
        <v>#N/A</v>
      </c>
      <c r="C78" s="1" t="e">
        <f t="shared" si="27"/>
        <v>#N/A</v>
      </c>
      <c r="D78" s="1" t="e">
        <f t="shared" si="28"/>
        <v>#N/A</v>
      </c>
      <c r="E78" s="1" t="e">
        <f t="shared" si="29"/>
        <v>#N/A</v>
      </c>
      <c r="F78" s="1" t="e">
        <f t="shared" si="30"/>
        <v>#N/A</v>
      </c>
      <c r="G78" s="38" t="e">
        <f t="shared" si="31"/>
        <v>#N/A</v>
      </c>
      <c r="H78" s="37">
        <f t="shared" si="32"/>
        <v>104999.99999999999</v>
      </c>
      <c r="I78" s="1">
        <f t="shared" si="33"/>
        <v>11146.496815286626</v>
      </c>
      <c r="J78" s="1">
        <f t="shared" si="34"/>
        <v>12500</v>
      </c>
      <c r="K78" s="1">
        <f t="shared" si="35"/>
        <v>125072.85681037584</v>
      </c>
      <c r="L78" s="1">
        <f t="shared" si="36"/>
        <v>50.192989282572107</v>
      </c>
      <c r="M78" s="38">
        <f t="shared" si="37"/>
        <v>27.584694109994754</v>
      </c>
    </row>
    <row r="79" spans="1:13" x14ac:dyDescent="0.25">
      <c r="A79" s="40">
        <f t="shared" si="38"/>
        <v>315</v>
      </c>
      <c r="B79" s="37" t="e">
        <f t="shared" si="26"/>
        <v>#N/A</v>
      </c>
      <c r="C79" s="1" t="e">
        <f t="shared" si="27"/>
        <v>#N/A</v>
      </c>
      <c r="D79" s="1" t="e">
        <f t="shared" si="28"/>
        <v>#N/A</v>
      </c>
      <c r="E79" s="1" t="e">
        <f t="shared" si="29"/>
        <v>#N/A</v>
      </c>
      <c r="F79" s="1" t="e">
        <f t="shared" si="30"/>
        <v>#N/A</v>
      </c>
      <c r="G79" s="38" t="e">
        <f t="shared" si="31"/>
        <v>#N/A</v>
      </c>
      <c r="H79" s="37">
        <f t="shared" si="32"/>
        <v>104999.99999999999</v>
      </c>
      <c r="I79" s="1">
        <f t="shared" si="33"/>
        <v>11111.111111111111</v>
      </c>
      <c r="J79" s="1">
        <f t="shared" si="34"/>
        <v>12500</v>
      </c>
      <c r="K79" s="1">
        <f t="shared" si="35"/>
        <v>125064.52289211373</v>
      </c>
      <c r="L79" s="1">
        <f t="shared" si="36"/>
        <v>50.189644797759968</v>
      </c>
      <c r="M79" s="38">
        <f t="shared" si="37"/>
        <v>27.582856072615094</v>
      </c>
    </row>
    <row r="80" spans="1:13" x14ac:dyDescent="0.25">
      <c r="A80" s="40">
        <f t="shared" si="38"/>
        <v>316</v>
      </c>
      <c r="B80" s="37" t="e">
        <f t="shared" si="26"/>
        <v>#N/A</v>
      </c>
      <c r="C80" s="1" t="e">
        <f t="shared" si="27"/>
        <v>#N/A</v>
      </c>
      <c r="D80" s="1" t="e">
        <f t="shared" si="28"/>
        <v>#N/A</v>
      </c>
      <c r="E80" s="1" t="e">
        <f t="shared" si="29"/>
        <v>#N/A</v>
      </c>
      <c r="F80" s="1" t="e">
        <f t="shared" si="30"/>
        <v>#N/A</v>
      </c>
      <c r="G80" s="38" t="e">
        <f t="shared" si="31"/>
        <v>#N/A</v>
      </c>
      <c r="H80" s="37">
        <f t="shared" si="32"/>
        <v>104999.99999999999</v>
      </c>
      <c r="I80" s="1">
        <f t="shared" si="33"/>
        <v>11075.94936708861</v>
      </c>
      <c r="J80" s="1">
        <f t="shared" si="34"/>
        <v>12500</v>
      </c>
      <c r="K80" s="1">
        <f t="shared" si="35"/>
        <v>125056.26732399268</v>
      </c>
      <c r="L80" s="1">
        <f t="shared" si="36"/>
        <v>50.186331755643636</v>
      </c>
      <c r="M80" s="38">
        <f t="shared" si="37"/>
        <v>27.581035315281081</v>
      </c>
    </row>
    <row r="81" spans="1:13" x14ac:dyDescent="0.25">
      <c r="A81" s="40">
        <f t="shared" si="38"/>
        <v>317</v>
      </c>
      <c r="B81" s="37" t="e">
        <f t="shared" si="26"/>
        <v>#N/A</v>
      </c>
      <c r="C81" s="1" t="e">
        <f t="shared" si="27"/>
        <v>#N/A</v>
      </c>
      <c r="D81" s="1" t="e">
        <f t="shared" si="28"/>
        <v>#N/A</v>
      </c>
      <c r="E81" s="1" t="e">
        <f t="shared" si="29"/>
        <v>#N/A</v>
      </c>
      <c r="F81" s="1" t="e">
        <f t="shared" si="30"/>
        <v>#N/A</v>
      </c>
      <c r="G81" s="38" t="e">
        <f t="shared" si="31"/>
        <v>#N/A</v>
      </c>
      <c r="H81" s="37">
        <f t="shared" si="32"/>
        <v>104999.99999999999</v>
      </c>
      <c r="I81" s="1">
        <f t="shared" si="33"/>
        <v>11041.009463722397</v>
      </c>
      <c r="J81" s="1">
        <f t="shared" si="34"/>
        <v>12500</v>
      </c>
      <c r="K81" s="1">
        <f t="shared" si="35"/>
        <v>125048.08912887622</v>
      </c>
      <c r="L81" s="1">
        <f t="shared" si="36"/>
        <v>50.183049764088487</v>
      </c>
      <c r="M81" s="38">
        <f t="shared" si="37"/>
        <v>27.579231622486237</v>
      </c>
    </row>
    <row r="82" spans="1:13" x14ac:dyDescent="0.25">
      <c r="A82" s="40">
        <f t="shared" si="38"/>
        <v>318</v>
      </c>
      <c r="B82" s="37" t="e">
        <f t="shared" si="26"/>
        <v>#N/A</v>
      </c>
      <c r="C82" s="1" t="e">
        <f t="shared" si="27"/>
        <v>#N/A</v>
      </c>
      <c r="D82" s="1" t="e">
        <f t="shared" si="28"/>
        <v>#N/A</v>
      </c>
      <c r="E82" s="1" t="e">
        <f t="shared" si="29"/>
        <v>#N/A</v>
      </c>
      <c r="F82" s="1" t="e">
        <f t="shared" si="30"/>
        <v>#N/A</v>
      </c>
      <c r="G82" s="38" t="e">
        <f t="shared" si="31"/>
        <v>#N/A</v>
      </c>
      <c r="H82" s="37">
        <f t="shared" si="32"/>
        <v>104999.99999999999</v>
      </c>
      <c r="I82" s="1">
        <f t="shared" si="33"/>
        <v>11006.289308176099</v>
      </c>
      <c r="J82" s="1">
        <f t="shared" si="34"/>
        <v>12500</v>
      </c>
      <c r="K82" s="1">
        <f t="shared" si="35"/>
        <v>125039.98734478407</v>
      </c>
      <c r="L82" s="1">
        <f t="shared" si="36"/>
        <v>50.179798437042166</v>
      </c>
      <c r="M82" s="38">
        <f t="shared" si="37"/>
        <v>27.577444782066774</v>
      </c>
    </row>
    <row r="83" spans="1:13" x14ac:dyDescent="0.25">
      <c r="A83" s="40">
        <f t="shared" si="38"/>
        <v>319</v>
      </c>
      <c r="B83" s="37" t="e">
        <f t="shared" si="26"/>
        <v>#N/A</v>
      </c>
      <c r="C83" s="1" t="e">
        <f t="shared" si="27"/>
        <v>#N/A</v>
      </c>
      <c r="D83" s="1" t="e">
        <f t="shared" si="28"/>
        <v>#N/A</v>
      </c>
      <c r="E83" s="1" t="e">
        <f t="shared" si="29"/>
        <v>#N/A</v>
      </c>
      <c r="F83" s="1" t="e">
        <f t="shared" si="30"/>
        <v>#N/A</v>
      </c>
      <c r="G83" s="38" t="e">
        <f t="shared" si="31"/>
        <v>#N/A</v>
      </c>
      <c r="H83" s="37">
        <f t="shared" si="32"/>
        <v>104999.99999999999</v>
      </c>
      <c r="I83" s="1">
        <f t="shared" si="33"/>
        <v>10971.7868338558</v>
      </c>
      <c r="J83" s="1">
        <f t="shared" si="34"/>
        <v>12500</v>
      </c>
      <c r="K83" s="1">
        <f t="shared" si="35"/>
        <v>125031.96102461148</v>
      </c>
      <c r="L83" s="1">
        <f t="shared" si="36"/>
        <v>50.17657739442209</v>
      </c>
      <c r="M83" s="38">
        <f t="shared" si="37"/>
        <v>27.575674585139662</v>
      </c>
    </row>
    <row r="84" spans="1:13" x14ac:dyDescent="0.25">
      <c r="A84" s="40">
        <f t="shared" si="38"/>
        <v>320</v>
      </c>
      <c r="B84" s="37" t="e">
        <f t="shared" si="26"/>
        <v>#N/A</v>
      </c>
      <c r="C84" s="1" t="e">
        <f t="shared" si="27"/>
        <v>#N/A</v>
      </c>
      <c r="D84" s="1" t="e">
        <f t="shared" si="28"/>
        <v>#N/A</v>
      </c>
      <c r="E84" s="1" t="e">
        <f t="shared" si="29"/>
        <v>#N/A</v>
      </c>
      <c r="F84" s="1" t="e">
        <f t="shared" si="30"/>
        <v>#N/A</v>
      </c>
      <c r="G84" s="38" t="e">
        <f t="shared" si="31"/>
        <v>#N/A</v>
      </c>
      <c r="H84" s="37">
        <f t="shared" si="32"/>
        <v>104999.99999999999</v>
      </c>
      <c r="I84" s="1">
        <f t="shared" si="33"/>
        <v>10937.5</v>
      </c>
      <c r="J84" s="1">
        <f t="shared" si="34"/>
        <v>12500</v>
      </c>
      <c r="K84" s="1">
        <f t="shared" si="35"/>
        <v>125024.00923585454</v>
      </c>
      <c r="L84" s="1">
        <f t="shared" si="36"/>
        <v>50.173386262005089</v>
      </c>
      <c r="M84" s="38">
        <f t="shared" si="37"/>
        <v>27.573920826042119</v>
      </c>
    </row>
    <row r="85" spans="1:13" x14ac:dyDescent="0.25">
      <c r="A85" s="40">
        <f t="shared" si="38"/>
        <v>321</v>
      </c>
      <c r="B85" s="37" t="e">
        <f t="shared" si="26"/>
        <v>#N/A</v>
      </c>
      <c r="C85" s="1" t="e">
        <f t="shared" si="27"/>
        <v>#N/A</v>
      </c>
      <c r="D85" s="1" t="e">
        <f t="shared" si="28"/>
        <v>#N/A</v>
      </c>
      <c r="E85" s="1" t="e">
        <f t="shared" si="29"/>
        <v>#N/A</v>
      </c>
      <c r="F85" s="1" t="e">
        <f t="shared" si="30"/>
        <v>#N/A</v>
      </c>
      <c r="G85" s="38" t="e">
        <f t="shared" si="31"/>
        <v>#N/A</v>
      </c>
      <c r="H85" s="37">
        <f t="shared" si="32"/>
        <v>104999.99999999999</v>
      </c>
      <c r="I85" s="1">
        <f t="shared" si="33"/>
        <v>10903.426791277259</v>
      </c>
      <c r="J85" s="1">
        <f t="shared" si="34"/>
        <v>12500</v>
      </c>
      <c r="K85" s="1">
        <f t="shared" si="35"/>
        <v>125016.13106034146</v>
      </c>
      <c r="L85" s="1">
        <f t="shared" si="36"/>
        <v>50.170224671319652</v>
      </c>
      <c r="M85" s="38">
        <f t="shared" si="37"/>
        <v>27.572183302272251</v>
      </c>
    </row>
    <row r="86" spans="1:13" x14ac:dyDescent="0.25">
      <c r="A86" s="40">
        <f t="shared" si="38"/>
        <v>322</v>
      </c>
      <c r="B86" s="37" t="e">
        <f t="shared" si="26"/>
        <v>#N/A</v>
      </c>
      <c r="C86" s="1" t="e">
        <f t="shared" si="27"/>
        <v>#N/A</v>
      </c>
      <c r="D86" s="1" t="e">
        <f t="shared" si="28"/>
        <v>#N/A</v>
      </c>
      <c r="E86" s="1" t="e">
        <f t="shared" si="29"/>
        <v>#N/A</v>
      </c>
      <c r="F86" s="1" t="e">
        <f t="shared" si="30"/>
        <v>#N/A</v>
      </c>
      <c r="G86" s="38" t="e">
        <f t="shared" si="31"/>
        <v>#N/A</v>
      </c>
      <c r="H86" s="37">
        <f t="shared" si="32"/>
        <v>104999.99999999999</v>
      </c>
      <c r="I86" s="1">
        <f t="shared" si="33"/>
        <v>10869.565217391304</v>
      </c>
      <c r="J86" s="1">
        <f t="shared" si="34"/>
        <v>12500</v>
      </c>
      <c r="K86" s="1">
        <f t="shared" si="35"/>
        <v>125008.32559396945</v>
      </c>
      <c r="L86" s="1">
        <f t="shared" si="36"/>
        <v>50.167092259540247</v>
      </c>
      <c r="M86" s="38">
        <f t="shared" si="37"/>
        <v>27.570461814431095</v>
      </c>
    </row>
    <row r="87" spans="1:13" x14ac:dyDescent="0.25">
      <c r="A87" s="40">
        <f t="shared" si="38"/>
        <v>323</v>
      </c>
      <c r="B87" s="37" t="e">
        <f t="shared" si="26"/>
        <v>#N/A</v>
      </c>
      <c r="C87" s="1" t="e">
        <f t="shared" si="27"/>
        <v>#N/A</v>
      </c>
      <c r="D87" s="1" t="e">
        <f t="shared" si="28"/>
        <v>#N/A</v>
      </c>
      <c r="E87" s="1" t="e">
        <f t="shared" si="29"/>
        <v>#N/A</v>
      </c>
      <c r="F87" s="1" t="e">
        <f t="shared" si="30"/>
        <v>#N/A</v>
      </c>
      <c r="G87" s="38" t="e">
        <f t="shared" si="31"/>
        <v>#N/A</v>
      </c>
      <c r="H87" s="37">
        <f t="shared" si="32"/>
        <v>104999.99999999999</v>
      </c>
      <c r="I87" s="1">
        <f t="shared" si="33"/>
        <v>10835.913312693499</v>
      </c>
      <c r="J87" s="1">
        <f t="shared" si="34"/>
        <v>12500</v>
      </c>
      <c r="K87" s="1">
        <f t="shared" si="35"/>
        <v>125000.59194644736</v>
      </c>
      <c r="L87" s="1">
        <f t="shared" si="36"/>
        <v>50.163988669384153</v>
      </c>
      <c r="M87" s="38">
        <f t="shared" si="37"/>
        <v>27.568756166165823</v>
      </c>
    </row>
    <row r="88" spans="1:13" x14ac:dyDescent="0.25">
      <c r="A88" s="40">
        <f t="shared" si="38"/>
        <v>324</v>
      </c>
      <c r="B88" s="37" t="e">
        <f t="shared" si="26"/>
        <v>#N/A</v>
      </c>
      <c r="C88" s="1" t="e">
        <f t="shared" si="27"/>
        <v>#N/A</v>
      </c>
      <c r="D88" s="1" t="e">
        <f t="shared" si="28"/>
        <v>#N/A</v>
      </c>
      <c r="E88" s="1" t="e">
        <f t="shared" si="29"/>
        <v>#N/A</v>
      </c>
      <c r="F88" s="1" t="e">
        <f t="shared" si="30"/>
        <v>#N/A</v>
      </c>
      <c r="G88" s="38" t="e">
        <f t="shared" si="31"/>
        <v>#N/A</v>
      </c>
      <c r="H88" s="37">
        <f t="shared" si="32"/>
        <v>104999.99999999999</v>
      </c>
      <c r="I88" s="1">
        <f t="shared" si="33"/>
        <v>10802.46913580247</v>
      </c>
      <c r="J88" s="1">
        <f t="shared" si="34"/>
        <v>12500</v>
      </c>
      <c r="K88" s="1">
        <f t="shared" si="35"/>
        <v>124992.92924104369</v>
      </c>
      <c r="L88" s="1">
        <f t="shared" si="36"/>
        <v>50.160913549010225</v>
      </c>
      <c r="M88" s="38">
        <f t="shared" si="37"/>
        <v>27.567066164114173</v>
      </c>
    </row>
    <row r="89" spans="1:13" x14ac:dyDescent="0.25">
      <c r="A89" s="40">
        <f t="shared" si="38"/>
        <v>325</v>
      </c>
      <c r="B89" s="37" t="e">
        <f t="shared" si="26"/>
        <v>#N/A</v>
      </c>
      <c r="C89" s="1" t="e">
        <f t="shared" si="27"/>
        <v>#N/A</v>
      </c>
      <c r="D89" s="1" t="e">
        <f t="shared" si="28"/>
        <v>#N/A</v>
      </c>
      <c r="E89" s="1" t="e">
        <f t="shared" si="29"/>
        <v>#N/A</v>
      </c>
      <c r="F89" s="1" t="e">
        <f t="shared" si="30"/>
        <v>#N/A</v>
      </c>
      <c r="G89" s="38" t="e">
        <f t="shared" si="31"/>
        <v>#N/A</v>
      </c>
      <c r="H89" s="37">
        <f t="shared" si="32"/>
        <v>104999.99999999999</v>
      </c>
      <c r="I89" s="1">
        <f t="shared" si="33"/>
        <v>10769.23076923077</v>
      </c>
      <c r="J89" s="1">
        <f t="shared" si="34"/>
        <v>12500</v>
      </c>
      <c r="K89" s="1">
        <f t="shared" si="35"/>
        <v>124985.33661433999</v>
      </c>
      <c r="L89" s="1">
        <f t="shared" si="36"/>
        <v>50.157866551920023</v>
      </c>
      <c r="M89" s="38">
        <f t="shared" si="37"/>
        <v>27.565391617850068</v>
      </c>
    </row>
    <row r="90" spans="1:13" x14ac:dyDescent="0.25">
      <c r="A90" s="40">
        <f t="shared" si="38"/>
        <v>326</v>
      </c>
      <c r="B90" s="37" t="e">
        <f t="shared" si="26"/>
        <v>#N/A</v>
      </c>
      <c r="C90" s="1" t="e">
        <f t="shared" si="27"/>
        <v>#N/A</v>
      </c>
      <c r="D90" s="1" t="e">
        <f t="shared" si="28"/>
        <v>#N/A</v>
      </c>
      <c r="E90" s="1" t="e">
        <f t="shared" si="29"/>
        <v>#N/A</v>
      </c>
      <c r="F90" s="1" t="e">
        <f t="shared" si="30"/>
        <v>#N/A</v>
      </c>
      <c r="G90" s="38" t="e">
        <f t="shared" si="31"/>
        <v>#N/A</v>
      </c>
      <c r="H90" s="37">
        <f t="shared" si="32"/>
        <v>104999.99999999999</v>
      </c>
      <c r="I90" s="1">
        <f t="shared" si="33"/>
        <v>10736.196319018405</v>
      </c>
      <c r="J90" s="1">
        <f t="shared" si="34"/>
        <v>12500</v>
      </c>
      <c r="K90" s="1">
        <f t="shared" si="35"/>
        <v>124977.81321598939</v>
      </c>
      <c r="L90" s="1">
        <f t="shared" si="36"/>
        <v>50.154847336860811</v>
      </c>
      <c r="M90" s="38">
        <f t="shared" si="37"/>
        <v>27.563732339830345</v>
      </c>
    </row>
    <row r="91" spans="1:13" x14ac:dyDescent="0.25">
      <c r="A91" s="40">
        <f t="shared" si="38"/>
        <v>327</v>
      </c>
      <c r="B91" s="37" t="e">
        <f t="shared" si="26"/>
        <v>#N/A</v>
      </c>
      <c r="C91" s="1" t="e">
        <f t="shared" si="27"/>
        <v>#N/A</v>
      </c>
      <c r="D91" s="1" t="e">
        <f t="shared" si="28"/>
        <v>#N/A</v>
      </c>
      <c r="E91" s="1" t="e">
        <f t="shared" si="29"/>
        <v>#N/A</v>
      </c>
      <c r="F91" s="1" t="e">
        <f t="shared" si="30"/>
        <v>#N/A</v>
      </c>
      <c r="G91" s="38" t="e">
        <f t="shared" si="31"/>
        <v>#N/A</v>
      </c>
      <c r="H91" s="37">
        <f t="shared" si="32"/>
        <v>104999.99999999999</v>
      </c>
      <c r="I91" s="1">
        <f t="shared" si="33"/>
        <v>10703.363914373089</v>
      </c>
      <c r="J91" s="1">
        <f t="shared" si="34"/>
        <v>12500</v>
      </c>
      <c r="K91" s="1">
        <f t="shared" si="35"/>
        <v>124970.35820848035</v>
      </c>
      <c r="L91" s="1">
        <f t="shared" si="36"/>
        <v>50.151855567730841</v>
      </c>
      <c r="M91" s="38">
        <f t="shared" si="37"/>
        <v>27.562088145342678</v>
      </c>
    </row>
    <row r="92" spans="1:13" x14ac:dyDescent="0.25">
      <c r="A92" s="40">
        <f t="shared" si="38"/>
        <v>328</v>
      </c>
      <c r="B92" s="37" t="e">
        <f t="shared" si="26"/>
        <v>#N/A</v>
      </c>
      <c r="C92" s="1" t="e">
        <f t="shared" si="27"/>
        <v>#N/A</v>
      </c>
      <c r="D92" s="1" t="e">
        <f t="shared" si="28"/>
        <v>#N/A</v>
      </c>
      <c r="E92" s="1" t="e">
        <f t="shared" si="29"/>
        <v>#N/A</v>
      </c>
      <c r="F92" s="1" t="e">
        <f t="shared" si="30"/>
        <v>#N/A</v>
      </c>
      <c r="G92" s="38" t="e">
        <f t="shared" si="31"/>
        <v>#N/A</v>
      </c>
      <c r="H92" s="37">
        <f t="shared" si="32"/>
        <v>104999.99999999999</v>
      </c>
      <c r="I92" s="1">
        <f t="shared" si="33"/>
        <v>10670.731707317074</v>
      </c>
      <c r="J92" s="1">
        <f t="shared" si="34"/>
        <v>12500</v>
      </c>
      <c r="K92" s="1">
        <f t="shared" si="35"/>
        <v>124962.97076690523</v>
      </c>
      <c r="L92" s="1">
        <f t="shared" si="36"/>
        <v>50.148890913486412</v>
      </c>
      <c r="M92" s="38">
        <f t="shared" si="37"/>
        <v>27.560458852454502</v>
      </c>
    </row>
    <row r="93" spans="1:13" x14ac:dyDescent="0.25">
      <c r="A93" s="40">
        <f t="shared" si="38"/>
        <v>329</v>
      </c>
      <c r="B93" s="37" t="e">
        <f t="shared" si="26"/>
        <v>#N/A</v>
      </c>
      <c r="C93" s="1" t="e">
        <f t="shared" si="27"/>
        <v>#N/A</v>
      </c>
      <c r="D93" s="1" t="e">
        <f t="shared" si="28"/>
        <v>#N/A</v>
      </c>
      <c r="E93" s="1" t="e">
        <f t="shared" si="29"/>
        <v>#N/A</v>
      </c>
      <c r="F93" s="1" t="e">
        <f t="shared" si="30"/>
        <v>#N/A</v>
      </c>
      <c r="G93" s="38" t="e">
        <f t="shared" si="31"/>
        <v>#N/A</v>
      </c>
      <c r="H93" s="37">
        <f t="shared" si="32"/>
        <v>104999.99999999999</v>
      </c>
      <c r="I93" s="1">
        <f t="shared" si="33"/>
        <v>10638.297872340427</v>
      </c>
      <c r="J93" s="1">
        <f t="shared" si="34"/>
        <v>12500</v>
      </c>
      <c r="K93" s="1">
        <f t="shared" si="35"/>
        <v>124955.65007873377</v>
      </c>
      <c r="L93" s="1">
        <f t="shared" si="36"/>
        <v>50.145953048050991</v>
      </c>
      <c r="M93" s="38">
        <f t="shared" si="37"/>
        <v>27.558844281963076</v>
      </c>
    </row>
    <row r="94" spans="1:13" x14ac:dyDescent="0.25">
      <c r="A94" s="40">
        <f t="shared" si="38"/>
        <v>330</v>
      </c>
      <c r="B94" s="37" t="e">
        <f t="shared" si="26"/>
        <v>#N/A</v>
      </c>
      <c r="C94" s="1" t="e">
        <f t="shared" si="27"/>
        <v>#N/A</v>
      </c>
      <c r="D94" s="1" t="e">
        <f t="shared" si="28"/>
        <v>#N/A</v>
      </c>
      <c r="E94" s="1" t="e">
        <f t="shared" si="29"/>
        <v>#N/A</v>
      </c>
      <c r="F94" s="1" t="e">
        <f t="shared" si="30"/>
        <v>#N/A</v>
      </c>
      <c r="G94" s="38" t="e">
        <f t="shared" si="31"/>
        <v>#N/A</v>
      </c>
      <c r="H94" s="37">
        <f t="shared" si="32"/>
        <v>104999.99999999999</v>
      </c>
      <c r="I94" s="1">
        <f t="shared" si="33"/>
        <v>10606.060606060606</v>
      </c>
      <c r="J94" s="1">
        <f t="shared" si="34"/>
        <v>12500</v>
      </c>
      <c r="K94" s="1">
        <f t="shared" si="35"/>
        <v>124948.3953435913</v>
      </c>
      <c r="L94" s="1">
        <f t="shared" si="36"/>
        <v>50.143041650226245</v>
      </c>
      <c r="M94" s="38">
        <f t="shared" si="37"/>
        <v>27.557244257346561</v>
      </c>
    </row>
    <row r="95" spans="1:13" x14ac:dyDescent="0.25">
      <c r="A95" s="40">
        <f t="shared" si="38"/>
        <v>331</v>
      </c>
      <c r="B95" s="37" t="e">
        <f t="shared" si="26"/>
        <v>#N/A</v>
      </c>
      <c r="C95" s="1" t="e">
        <f t="shared" si="27"/>
        <v>#N/A</v>
      </c>
      <c r="D95" s="1" t="e">
        <f t="shared" si="28"/>
        <v>#N/A</v>
      </c>
      <c r="E95" s="1" t="e">
        <f t="shared" si="29"/>
        <v>#N/A</v>
      </c>
      <c r="F95" s="1" t="e">
        <f t="shared" si="30"/>
        <v>#N/A</v>
      </c>
      <c r="G95" s="38" t="e">
        <f t="shared" si="31"/>
        <v>#N/A</v>
      </c>
      <c r="H95" s="37">
        <f t="shared" si="32"/>
        <v>104999.99999999999</v>
      </c>
      <c r="I95" s="1">
        <f t="shared" si="33"/>
        <v>10574.018126888219</v>
      </c>
      <c r="J95" s="1">
        <f t="shared" si="34"/>
        <v>12500</v>
      </c>
      <c r="K95" s="1">
        <f t="shared" si="35"/>
        <v>124941.20577304157</v>
      </c>
      <c r="L95" s="1">
        <f t="shared" si="36"/>
        <v>50.140156403604777</v>
      </c>
      <c r="M95" s="38">
        <f t="shared" si="37"/>
        <v>27.555658604716136</v>
      </c>
    </row>
    <row r="96" spans="1:13" x14ac:dyDescent="0.25">
      <c r="A96" s="40">
        <f t="shared" si="38"/>
        <v>332</v>
      </c>
      <c r="B96" s="37" t="e">
        <f t="shared" si="26"/>
        <v>#N/A</v>
      </c>
      <c r="C96" s="1" t="e">
        <f t="shared" si="27"/>
        <v>#N/A</v>
      </c>
      <c r="D96" s="1" t="e">
        <f t="shared" si="28"/>
        <v>#N/A</v>
      </c>
      <c r="E96" s="1" t="e">
        <f t="shared" si="29"/>
        <v>#N/A</v>
      </c>
      <c r="F96" s="1" t="e">
        <f t="shared" si="30"/>
        <v>#N/A</v>
      </c>
      <c r="G96" s="38" t="e">
        <f t="shared" si="31"/>
        <v>#N/A</v>
      </c>
      <c r="H96" s="37">
        <f t="shared" si="32"/>
        <v>104999.99999999999</v>
      </c>
      <c r="I96" s="1">
        <f t="shared" si="33"/>
        <v>10542.168674698794</v>
      </c>
      <c r="J96" s="1">
        <f t="shared" si="34"/>
        <v>12500</v>
      </c>
      <c r="K96" s="1">
        <f t="shared" si="35"/>
        <v>124934.08059037404</v>
      </c>
      <c r="L96" s="1">
        <f t="shared" si="36"/>
        <v>50.137296996484899</v>
      </c>
      <c r="M96" s="38">
        <f t="shared" si="37"/>
        <v>27.554087152769053</v>
      </c>
    </row>
    <row r="97" spans="1:13" x14ac:dyDescent="0.25">
      <c r="A97" s="40">
        <f t="shared" si="38"/>
        <v>333</v>
      </c>
      <c r="B97" s="37" t="e">
        <f t="shared" si="26"/>
        <v>#N/A</v>
      </c>
      <c r="C97" s="1" t="e">
        <f t="shared" si="27"/>
        <v>#N/A</v>
      </c>
      <c r="D97" s="1" t="e">
        <f t="shared" si="28"/>
        <v>#N/A</v>
      </c>
      <c r="E97" s="1" t="e">
        <f t="shared" si="29"/>
        <v>#N/A</v>
      </c>
      <c r="F97" s="1" t="e">
        <f t="shared" si="30"/>
        <v>#N/A</v>
      </c>
      <c r="G97" s="38" t="e">
        <f t="shared" si="31"/>
        <v>#N/A</v>
      </c>
      <c r="H97" s="37">
        <f t="shared" si="32"/>
        <v>104999.99999999999</v>
      </c>
      <c r="I97" s="1">
        <f t="shared" si="33"/>
        <v>10510.510510510512</v>
      </c>
      <c r="J97" s="1">
        <f t="shared" si="34"/>
        <v>12500</v>
      </c>
      <c r="K97" s="1">
        <f t="shared" si="35"/>
        <v>124927.01903039559</v>
      </c>
      <c r="L97" s="1">
        <f t="shared" si="36"/>
        <v>50.134463121786943</v>
      </c>
      <c r="M97" s="38">
        <f t="shared" si="37"/>
        <v>27.552529732742741</v>
      </c>
    </row>
    <row r="98" spans="1:13" x14ac:dyDescent="0.25">
      <c r="A98" s="40">
        <f t="shared" si="38"/>
        <v>334</v>
      </c>
      <c r="B98" s="37" t="e">
        <f t="shared" si="26"/>
        <v>#N/A</v>
      </c>
      <c r="C98" s="1" t="e">
        <f t="shared" si="27"/>
        <v>#N/A</v>
      </c>
      <c r="D98" s="1" t="e">
        <f t="shared" si="28"/>
        <v>#N/A</v>
      </c>
      <c r="E98" s="1" t="e">
        <f t="shared" si="29"/>
        <v>#N/A</v>
      </c>
      <c r="F98" s="1" t="e">
        <f t="shared" si="30"/>
        <v>#N/A</v>
      </c>
      <c r="G98" s="38" t="e">
        <f t="shared" si="31"/>
        <v>#N/A</v>
      </c>
      <c r="H98" s="37">
        <f t="shared" si="32"/>
        <v>104999.99999999999</v>
      </c>
      <c r="I98" s="1">
        <f t="shared" si="33"/>
        <v>10479.041916167665</v>
      </c>
      <c r="J98" s="1">
        <f t="shared" si="34"/>
        <v>12500</v>
      </c>
      <c r="K98" s="1">
        <f t="shared" si="35"/>
        <v>124920.02033922661</v>
      </c>
      <c r="L98" s="1">
        <f t="shared" si="36"/>
        <v>50.131654476971477</v>
      </c>
      <c r="M98" s="38">
        <f t="shared" si="37"/>
        <v>27.550986178369794</v>
      </c>
    </row>
    <row r="99" spans="1:13" x14ac:dyDescent="0.25">
      <c r="A99" s="40">
        <f t="shared" si="38"/>
        <v>335</v>
      </c>
      <c r="B99" s="37" t="e">
        <f t="shared" si="26"/>
        <v>#N/A</v>
      </c>
      <c r="C99" s="1" t="e">
        <f t="shared" si="27"/>
        <v>#N/A</v>
      </c>
      <c r="D99" s="1" t="e">
        <f t="shared" si="28"/>
        <v>#N/A</v>
      </c>
      <c r="E99" s="1" t="e">
        <f t="shared" si="29"/>
        <v>#N/A</v>
      </c>
      <c r="F99" s="1" t="e">
        <f t="shared" si="30"/>
        <v>#N/A</v>
      </c>
      <c r="G99" s="38" t="e">
        <f t="shared" si="31"/>
        <v>#N/A</v>
      </c>
      <c r="H99" s="37">
        <f t="shared" si="32"/>
        <v>104999.99999999999</v>
      </c>
      <c r="I99" s="1">
        <f t="shared" si="33"/>
        <v>10447.761194029852</v>
      </c>
      <c r="J99" s="1">
        <f t="shared" si="34"/>
        <v>12500</v>
      </c>
      <c r="K99" s="1">
        <f t="shared" si="35"/>
        <v>124913.08377410113</v>
      </c>
      <c r="L99" s="1">
        <f t="shared" si="36"/>
        <v>50.128870763959064</v>
      </c>
      <c r="M99" s="38">
        <f t="shared" si="37"/>
        <v>27.549456325833916</v>
      </c>
    </row>
    <row r="100" spans="1:13" x14ac:dyDescent="0.25">
      <c r="A100" s="40">
        <f t="shared" si="38"/>
        <v>336</v>
      </c>
      <c r="B100" s="37" t="e">
        <f t="shared" ref="B100:B131" si="39">IF(Load_Case=1,3*(FL_SUS*H_STRB)/((L_STRB*0.001)^2),NA())</f>
        <v>#N/A</v>
      </c>
      <c r="C100" s="1" t="e">
        <f t="shared" ref="C100:C131" si="40">IF(Load_Case=1,(FC_SUS*H_STRB)/(L_STRB*A100*0.000001),NA())</f>
        <v>#N/A</v>
      </c>
      <c r="D100" s="1" t="e">
        <f t="shared" ref="D100:D131" si="41">IF(Load_Case=1,FA_SUS*1000/(2*L_STRB*0.001),NA())</f>
        <v>#N/A</v>
      </c>
      <c r="E100" s="1" t="e">
        <f t="shared" ref="E100:E131" si="42">IF(Load_Case=1,1.5*D100+SQRT((B100^2+(1.5*C100)^2)),NA())</f>
        <v>#N/A</v>
      </c>
      <c r="F100" s="1" t="e">
        <f t="shared" ref="F100:F131" si="43">IF(SL_STRB,(1.17*E100*SQRT(0.5*D*0.001))*0.000001/((tnet_STRB*0.001)^1.5),NA())</f>
        <v>#N/A</v>
      </c>
      <c r="G100" s="38" t="e">
        <f t="shared" ref="G100:G131" si="44">IF(SC_STRB,(0.643*E100*SQRT((D*0.5)*0.001))*0.000001/((tnet_STRB*0.001)^1.5),NA())</f>
        <v>#N/A</v>
      </c>
      <c r="H100" s="37">
        <f t="shared" ref="H100:H131" si="45">IF(Load_Case=2,3*(FL_EXP*H_STRB)/((L_STRB*0.001)^2),NA())</f>
        <v>104999.99999999999</v>
      </c>
      <c r="I100" s="1">
        <f t="shared" ref="I100:I131" si="46">IF(Load_Case=2,(FC_EXP*H_STRB)/(L_STRB*A100*0.000001),NA())</f>
        <v>10416.666666666668</v>
      </c>
      <c r="J100" s="1">
        <f t="shared" ref="J100:J131" si="47">IF(Load_Case=2,FA_EXP*1000/(2*L_STRB*0.001),NA())</f>
        <v>12500</v>
      </c>
      <c r="K100" s="1">
        <f t="shared" ref="K100:K131" si="48">IF(Load_Case=2,1.5*J100+SQRT((H100^2+(1.5*I100)^2)),NA())</f>
        <v>124906.20860317118</v>
      </c>
      <c r="L100" s="1">
        <f t="shared" ref="L100:L131" si="49">IF(SL_STRB,(1.17*K100*SQRT(0.5*D*0.001))*0.000001/((tnet_STRB*0.001)^1.5),NA())</f>
        <v>50.126111689051825</v>
      </c>
      <c r="M100" s="38">
        <f t="shared" ref="M100:M131" si="50">IF(SC_STRB,(0.643*K100*SQRT((D*0.5)*0.001))*0.000001/((tnet_STRB*0.001)^1.5),NA())</f>
        <v>27.547940013726773</v>
      </c>
    </row>
    <row r="101" spans="1:13" x14ac:dyDescent="0.25">
      <c r="A101" s="40">
        <f t="shared" ref="A101:A132" si="51">IF((A100+B_STRB_Increment)&gt;Max_STRB_B,NA(),A100+B_STRB_Increment)</f>
        <v>337</v>
      </c>
      <c r="B101" s="37" t="e">
        <f t="shared" si="39"/>
        <v>#N/A</v>
      </c>
      <c r="C101" s="1" t="e">
        <f t="shared" si="40"/>
        <v>#N/A</v>
      </c>
      <c r="D101" s="1" t="e">
        <f t="shared" si="41"/>
        <v>#N/A</v>
      </c>
      <c r="E101" s="1" t="e">
        <f t="shared" si="42"/>
        <v>#N/A</v>
      </c>
      <c r="F101" s="1" t="e">
        <f t="shared" si="43"/>
        <v>#N/A</v>
      </c>
      <c r="G101" s="38" t="e">
        <f t="shared" si="44"/>
        <v>#N/A</v>
      </c>
      <c r="H101" s="37">
        <f t="shared" si="45"/>
        <v>104999.99999999999</v>
      </c>
      <c r="I101" s="1">
        <f t="shared" si="46"/>
        <v>10385.756676557863</v>
      </c>
      <c r="J101" s="1">
        <f t="shared" si="47"/>
        <v>12500</v>
      </c>
      <c r="K101" s="1">
        <f t="shared" si="48"/>
        <v>124899.39410531506</v>
      </c>
      <c r="L101" s="1">
        <f t="shared" si="49"/>
        <v>50.123376962856391</v>
      </c>
      <c r="M101" s="38">
        <f t="shared" si="50"/>
        <v>27.546437083005685</v>
      </c>
    </row>
    <row r="102" spans="1:13" x14ac:dyDescent="0.25">
      <c r="A102" s="40">
        <f t="shared" si="51"/>
        <v>338</v>
      </c>
      <c r="B102" s="37" t="e">
        <f t="shared" si="39"/>
        <v>#N/A</v>
      </c>
      <c r="C102" s="1" t="e">
        <f t="shared" si="40"/>
        <v>#N/A</v>
      </c>
      <c r="D102" s="1" t="e">
        <f t="shared" si="41"/>
        <v>#N/A</v>
      </c>
      <c r="E102" s="1" t="e">
        <f t="shared" si="42"/>
        <v>#N/A</v>
      </c>
      <c r="F102" s="1" t="e">
        <f t="shared" si="43"/>
        <v>#N/A</v>
      </c>
      <c r="G102" s="38" t="e">
        <f t="shared" si="44"/>
        <v>#N/A</v>
      </c>
      <c r="H102" s="37">
        <f t="shared" si="45"/>
        <v>104999.99999999999</v>
      </c>
      <c r="I102" s="1">
        <f t="shared" si="46"/>
        <v>10355.029585798817</v>
      </c>
      <c r="J102" s="1">
        <f t="shared" si="47"/>
        <v>12500</v>
      </c>
      <c r="K102" s="1">
        <f t="shared" si="48"/>
        <v>124892.63956994958</v>
      </c>
      <c r="L102" s="1">
        <f t="shared" si="49"/>
        <v>50.120666300208583</v>
      </c>
      <c r="M102" s="38">
        <f t="shared" si="50"/>
        <v>27.544947376952244</v>
      </c>
    </row>
    <row r="103" spans="1:13" x14ac:dyDescent="0.25">
      <c r="A103" s="40">
        <f t="shared" si="51"/>
        <v>339</v>
      </c>
      <c r="B103" s="37" t="e">
        <f t="shared" si="39"/>
        <v>#N/A</v>
      </c>
      <c r="C103" s="1" t="e">
        <f t="shared" si="40"/>
        <v>#N/A</v>
      </c>
      <c r="D103" s="1" t="e">
        <f t="shared" si="41"/>
        <v>#N/A</v>
      </c>
      <c r="E103" s="1" t="e">
        <f t="shared" si="42"/>
        <v>#N/A</v>
      </c>
      <c r="F103" s="1" t="e">
        <f t="shared" si="43"/>
        <v>#N/A</v>
      </c>
      <c r="G103" s="38" t="e">
        <f t="shared" si="44"/>
        <v>#N/A</v>
      </c>
      <c r="H103" s="37">
        <f t="shared" si="45"/>
        <v>104999.99999999999</v>
      </c>
      <c r="I103" s="1">
        <f t="shared" si="46"/>
        <v>10324.48377581121</v>
      </c>
      <c r="J103" s="1">
        <f t="shared" si="47"/>
        <v>12500</v>
      </c>
      <c r="K103" s="1">
        <f t="shared" si="48"/>
        <v>124885.94429684611</v>
      </c>
      <c r="L103" s="1">
        <f t="shared" si="49"/>
        <v>50.117979420099694</v>
      </c>
      <c r="M103" s="38">
        <f t="shared" si="50"/>
        <v>27.543470741131717</v>
      </c>
    </row>
    <row r="104" spans="1:13" x14ac:dyDescent="0.25">
      <c r="A104" s="40">
        <f t="shared" si="51"/>
        <v>340</v>
      </c>
      <c r="B104" s="37" t="e">
        <f t="shared" si="39"/>
        <v>#N/A</v>
      </c>
      <c r="C104" s="1" t="e">
        <f t="shared" si="40"/>
        <v>#N/A</v>
      </c>
      <c r="D104" s="1" t="e">
        <f t="shared" si="41"/>
        <v>#N/A</v>
      </c>
      <c r="E104" s="1" t="e">
        <f t="shared" si="42"/>
        <v>#N/A</v>
      </c>
      <c r="F104" s="1" t="e">
        <f t="shared" si="43"/>
        <v>#N/A</v>
      </c>
      <c r="G104" s="38" t="e">
        <f t="shared" si="44"/>
        <v>#N/A</v>
      </c>
      <c r="H104" s="37">
        <f t="shared" si="45"/>
        <v>104999.99999999999</v>
      </c>
      <c r="I104" s="1">
        <f t="shared" si="46"/>
        <v>10294.117647058825</v>
      </c>
      <c r="J104" s="1">
        <f t="shared" si="47"/>
        <v>12500</v>
      </c>
      <c r="K104" s="1">
        <f t="shared" si="48"/>
        <v>124879.30759595035</v>
      </c>
      <c r="L104" s="1">
        <f t="shared" si="49"/>
        <v>50.115316045604004</v>
      </c>
      <c r="M104" s="38">
        <f t="shared" si="50"/>
        <v>27.542007023353314</v>
      </c>
    </row>
    <row r="105" spans="1:13" x14ac:dyDescent="0.25">
      <c r="A105" s="40">
        <f t="shared" si="51"/>
        <v>341</v>
      </c>
      <c r="B105" s="37" t="e">
        <f t="shared" si="39"/>
        <v>#N/A</v>
      </c>
      <c r="C105" s="1" t="e">
        <f t="shared" si="40"/>
        <v>#N/A</v>
      </c>
      <c r="D105" s="1" t="e">
        <f t="shared" si="41"/>
        <v>#N/A</v>
      </c>
      <c r="E105" s="1" t="e">
        <f t="shared" si="42"/>
        <v>#N/A</v>
      </c>
      <c r="F105" s="1" t="e">
        <f t="shared" si="43"/>
        <v>#N/A</v>
      </c>
      <c r="G105" s="38" t="e">
        <f t="shared" si="44"/>
        <v>#N/A</v>
      </c>
      <c r="H105" s="37">
        <f t="shared" si="45"/>
        <v>104999.99999999999</v>
      </c>
      <c r="I105" s="1">
        <f t="shared" si="46"/>
        <v>10263.929618768329</v>
      </c>
      <c r="J105" s="1">
        <f t="shared" si="47"/>
        <v>12500</v>
      </c>
      <c r="K105" s="1">
        <f t="shared" si="48"/>
        <v>124872.72878720568</v>
      </c>
      <c r="L105" s="1">
        <f t="shared" si="49"/>
        <v>50.112675903807975</v>
      </c>
      <c r="M105" s="38">
        <f t="shared" si="50"/>
        <v>27.540556073631219</v>
      </c>
    </row>
    <row r="106" spans="1:13" x14ac:dyDescent="0.25">
      <c r="A106" s="40">
        <f t="shared" si="51"/>
        <v>342</v>
      </c>
      <c r="B106" s="37" t="e">
        <f t="shared" si="39"/>
        <v>#N/A</v>
      </c>
      <c r="C106" s="1" t="e">
        <f t="shared" si="40"/>
        <v>#N/A</v>
      </c>
      <c r="D106" s="1" t="e">
        <f t="shared" si="41"/>
        <v>#N/A</v>
      </c>
      <c r="E106" s="1" t="e">
        <f t="shared" si="42"/>
        <v>#N/A</v>
      </c>
      <c r="F106" s="1" t="e">
        <f t="shared" si="43"/>
        <v>#N/A</v>
      </c>
      <c r="G106" s="38" t="e">
        <f t="shared" si="44"/>
        <v>#N/A</v>
      </c>
      <c r="H106" s="37">
        <f t="shared" si="45"/>
        <v>104999.99999999999</v>
      </c>
      <c r="I106" s="1">
        <f t="shared" si="46"/>
        <v>10233.91812865497</v>
      </c>
      <c r="J106" s="1">
        <f t="shared" si="47"/>
        <v>12500</v>
      </c>
      <c r="K106" s="1">
        <f t="shared" si="48"/>
        <v>124866.20720038022</v>
      </c>
      <c r="L106" s="1">
        <f t="shared" si="49"/>
        <v>50.110058725740856</v>
      </c>
      <c r="M106" s="38">
        <f t="shared" si="50"/>
        <v>27.53911774414647</v>
      </c>
    </row>
    <row r="107" spans="1:13" x14ac:dyDescent="0.25">
      <c r="A107" s="40">
        <f t="shared" si="51"/>
        <v>343</v>
      </c>
      <c r="B107" s="37" t="e">
        <f t="shared" si="39"/>
        <v>#N/A</v>
      </c>
      <c r="C107" s="1" t="e">
        <f t="shared" si="40"/>
        <v>#N/A</v>
      </c>
      <c r="D107" s="1" t="e">
        <f t="shared" si="41"/>
        <v>#N/A</v>
      </c>
      <c r="E107" s="1" t="e">
        <f t="shared" si="42"/>
        <v>#N/A</v>
      </c>
      <c r="F107" s="1" t="e">
        <f t="shared" si="43"/>
        <v>#N/A</v>
      </c>
      <c r="G107" s="38" t="e">
        <f t="shared" si="44"/>
        <v>#N/A</v>
      </c>
      <c r="H107" s="37">
        <f t="shared" si="45"/>
        <v>104999.99999999999</v>
      </c>
      <c r="I107" s="1">
        <f t="shared" si="46"/>
        <v>10204.081632653062</v>
      </c>
      <c r="J107" s="1">
        <f t="shared" si="47"/>
        <v>12500</v>
      </c>
      <c r="K107" s="1">
        <f t="shared" si="48"/>
        <v>124859.74217489718</v>
      </c>
      <c r="L107" s="1">
        <f t="shared" si="49"/>
        <v>50.107464246306577</v>
      </c>
      <c r="M107" s="38">
        <f t="shared" si="50"/>
        <v>27.537691889209515</v>
      </c>
    </row>
    <row r="108" spans="1:13" x14ac:dyDescent="0.25">
      <c r="A108" s="40">
        <f t="shared" si="51"/>
        <v>344</v>
      </c>
      <c r="B108" s="37" t="e">
        <f t="shared" si="39"/>
        <v>#N/A</v>
      </c>
      <c r="C108" s="1" t="e">
        <f t="shared" si="40"/>
        <v>#N/A</v>
      </c>
      <c r="D108" s="1" t="e">
        <f t="shared" si="41"/>
        <v>#N/A</v>
      </c>
      <c r="E108" s="1" t="e">
        <f t="shared" si="42"/>
        <v>#N/A</v>
      </c>
      <c r="F108" s="1" t="e">
        <f t="shared" si="43"/>
        <v>#N/A</v>
      </c>
      <c r="G108" s="38" t="e">
        <f t="shared" si="44"/>
        <v>#N/A</v>
      </c>
      <c r="H108" s="37">
        <f t="shared" si="45"/>
        <v>104999.99999999999</v>
      </c>
      <c r="I108" s="1">
        <f t="shared" si="46"/>
        <v>10174.418604651162</v>
      </c>
      <c r="J108" s="1">
        <f t="shared" si="47"/>
        <v>12500</v>
      </c>
      <c r="K108" s="1">
        <f t="shared" si="48"/>
        <v>124853.3330596688</v>
      </c>
      <c r="L108" s="1">
        <f t="shared" si="49"/>
        <v>50.104892204217087</v>
      </c>
      <c r="M108" s="38">
        <f t="shared" si="50"/>
        <v>27.536278365223581</v>
      </c>
    </row>
    <row r="109" spans="1:13" x14ac:dyDescent="0.25">
      <c r="A109" s="40">
        <f t="shared" si="51"/>
        <v>345</v>
      </c>
      <c r="B109" s="37" t="e">
        <f t="shared" si="39"/>
        <v>#N/A</v>
      </c>
      <c r="C109" s="1" t="e">
        <f t="shared" si="40"/>
        <v>#N/A</v>
      </c>
      <c r="D109" s="1" t="e">
        <f t="shared" si="41"/>
        <v>#N/A</v>
      </c>
      <c r="E109" s="1" t="e">
        <f t="shared" si="42"/>
        <v>#N/A</v>
      </c>
      <c r="F109" s="1" t="e">
        <f t="shared" si="43"/>
        <v>#N/A</v>
      </c>
      <c r="G109" s="38" t="e">
        <f t="shared" si="44"/>
        <v>#N/A</v>
      </c>
      <c r="H109" s="37">
        <f t="shared" si="45"/>
        <v>104999.99999999999</v>
      </c>
      <c r="I109" s="1">
        <f t="shared" si="46"/>
        <v>10144.927536231886</v>
      </c>
      <c r="J109" s="1">
        <f t="shared" si="47"/>
        <v>12500</v>
      </c>
      <c r="K109" s="1">
        <f t="shared" si="48"/>
        <v>124846.97921293347</v>
      </c>
      <c r="L109" s="1">
        <f t="shared" si="49"/>
        <v>50.102342341927034</v>
      </c>
      <c r="M109" s="38">
        <f t="shared" si="50"/>
        <v>27.534877030648794</v>
      </c>
    </row>
    <row r="110" spans="1:13" x14ac:dyDescent="0.25">
      <c r="A110" s="40">
        <f t="shared" si="51"/>
        <v>346</v>
      </c>
      <c r="B110" s="37" t="e">
        <f t="shared" si="39"/>
        <v>#N/A</v>
      </c>
      <c r="C110" s="1" t="e">
        <f t="shared" si="40"/>
        <v>#N/A</v>
      </c>
      <c r="D110" s="1" t="e">
        <f t="shared" si="41"/>
        <v>#N/A</v>
      </c>
      <c r="E110" s="1" t="e">
        <f t="shared" si="42"/>
        <v>#N/A</v>
      </c>
      <c r="F110" s="1" t="e">
        <f t="shared" si="43"/>
        <v>#N/A</v>
      </c>
      <c r="G110" s="38" t="e">
        <f t="shared" si="44"/>
        <v>#N/A</v>
      </c>
      <c r="H110" s="37">
        <f t="shared" si="45"/>
        <v>104999.99999999999</v>
      </c>
      <c r="I110" s="1">
        <f t="shared" si="46"/>
        <v>10115.606936416185</v>
      </c>
      <c r="J110" s="1">
        <f t="shared" si="47"/>
        <v>12500</v>
      </c>
      <c r="K110" s="1">
        <f t="shared" si="48"/>
        <v>124840.68000209611</v>
      </c>
      <c r="L110" s="1">
        <f t="shared" si="49"/>
        <v>50.099814405569695</v>
      </c>
      <c r="M110" s="38">
        <f t="shared" si="50"/>
        <v>27.53348774596693</v>
      </c>
    </row>
    <row r="111" spans="1:13" x14ac:dyDescent="0.25">
      <c r="A111" s="40">
        <f t="shared" si="51"/>
        <v>347</v>
      </c>
      <c r="B111" s="37" t="e">
        <f t="shared" si="39"/>
        <v>#N/A</v>
      </c>
      <c r="C111" s="1" t="e">
        <f t="shared" si="40"/>
        <v>#N/A</v>
      </c>
      <c r="D111" s="1" t="e">
        <f t="shared" si="41"/>
        <v>#N/A</v>
      </c>
      <c r="E111" s="1" t="e">
        <f t="shared" si="42"/>
        <v>#N/A</v>
      </c>
      <c r="F111" s="1" t="e">
        <f t="shared" si="43"/>
        <v>#N/A</v>
      </c>
      <c r="G111" s="38" t="e">
        <f t="shared" si="44"/>
        <v>#N/A</v>
      </c>
      <c r="H111" s="37">
        <f t="shared" si="45"/>
        <v>104999.99999999999</v>
      </c>
      <c r="I111" s="1">
        <f t="shared" si="46"/>
        <v>10086.455331412104</v>
      </c>
      <c r="J111" s="1">
        <f t="shared" si="47"/>
        <v>12500</v>
      </c>
      <c r="K111" s="1">
        <f t="shared" si="48"/>
        <v>124834.43480357183</v>
      </c>
      <c r="L111" s="1">
        <f t="shared" si="49"/>
        <v>50.097308144894185</v>
      </c>
      <c r="M111" s="38">
        <f t="shared" si="50"/>
        <v>27.532110373646983</v>
      </c>
    </row>
    <row r="112" spans="1:13" x14ac:dyDescent="0.25">
      <c r="A112" s="40">
        <f t="shared" si="51"/>
        <v>348</v>
      </c>
      <c r="B112" s="37" t="e">
        <f t="shared" si="39"/>
        <v>#N/A</v>
      </c>
      <c r="C112" s="1" t="e">
        <f t="shared" si="40"/>
        <v>#N/A</v>
      </c>
      <c r="D112" s="1" t="e">
        <f t="shared" si="41"/>
        <v>#N/A</v>
      </c>
      <c r="E112" s="1" t="e">
        <f t="shared" si="42"/>
        <v>#N/A</v>
      </c>
      <c r="F112" s="1" t="e">
        <f t="shared" si="43"/>
        <v>#N/A</v>
      </c>
      <c r="G112" s="38" t="e">
        <f t="shared" si="44"/>
        <v>#N/A</v>
      </c>
      <c r="H112" s="37">
        <f t="shared" si="45"/>
        <v>104999.99999999999</v>
      </c>
      <c r="I112" s="1">
        <f t="shared" si="46"/>
        <v>10057.471264367818</v>
      </c>
      <c r="J112" s="1">
        <f t="shared" si="47"/>
        <v>12500</v>
      </c>
      <c r="K112" s="1">
        <f t="shared" si="48"/>
        <v>124828.24300263255</v>
      </c>
      <c r="L112" s="1">
        <f t="shared" si="49"/>
        <v>50.094823313203989</v>
      </c>
      <c r="M112" s="38">
        <f t="shared" si="50"/>
        <v>27.530744778111252</v>
      </c>
    </row>
    <row r="113" spans="1:13" x14ac:dyDescent="0.25">
      <c r="A113" s="40">
        <f t="shared" si="51"/>
        <v>349</v>
      </c>
      <c r="B113" s="37" t="e">
        <f t="shared" si="39"/>
        <v>#N/A</v>
      </c>
      <c r="C113" s="1" t="e">
        <f t="shared" si="40"/>
        <v>#N/A</v>
      </c>
      <c r="D113" s="1" t="e">
        <f t="shared" si="41"/>
        <v>#N/A</v>
      </c>
      <c r="E113" s="1" t="e">
        <f t="shared" si="42"/>
        <v>#N/A</v>
      </c>
      <c r="F113" s="1" t="e">
        <f t="shared" si="43"/>
        <v>#N/A</v>
      </c>
      <c r="G113" s="38" t="e">
        <f t="shared" si="44"/>
        <v>#N/A</v>
      </c>
      <c r="H113" s="37">
        <f t="shared" si="45"/>
        <v>104999.99999999999</v>
      </c>
      <c r="I113" s="1">
        <f t="shared" si="46"/>
        <v>10028.653295128939</v>
      </c>
      <c r="J113" s="1">
        <f t="shared" si="47"/>
        <v>12500</v>
      </c>
      <c r="K113" s="1">
        <f t="shared" si="48"/>
        <v>124822.10399325674</v>
      </c>
      <c r="L113" s="1">
        <f t="shared" si="49"/>
        <v>50.092359667296606</v>
      </c>
      <c r="M113" s="38">
        <f t="shared" si="50"/>
        <v>27.529390825702322</v>
      </c>
    </row>
    <row r="114" spans="1:13" x14ac:dyDescent="0.25">
      <c r="A114" s="40">
        <f t="shared" si="51"/>
        <v>350</v>
      </c>
      <c r="B114" s="37" t="e">
        <f t="shared" si="39"/>
        <v>#N/A</v>
      </c>
      <c r="C114" s="1" t="e">
        <f t="shared" si="40"/>
        <v>#N/A</v>
      </c>
      <c r="D114" s="1" t="e">
        <f t="shared" si="41"/>
        <v>#N/A</v>
      </c>
      <c r="E114" s="1" t="e">
        <f t="shared" si="42"/>
        <v>#N/A</v>
      </c>
      <c r="F114" s="1" t="e">
        <f t="shared" si="43"/>
        <v>#N/A</v>
      </c>
      <c r="G114" s="38" t="e">
        <f t="shared" si="44"/>
        <v>#N/A</v>
      </c>
      <c r="H114" s="37">
        <f t="shared" si="45"/>
        <v>104999.99999999999</v>
      </c>
      <c r="I114" s="1">
        <f t="shared" si="46"/>
        <v>10000.000000000002</v>
      </c>
      <c r="J114" s="1">
        <f t="shared" si="47"/>
        <v>12500</v>
      </c>
      <c r="K114" s="1">
        <f t="shared" si="48"/>
        <v>124816.01717798211</v>
      </c>
      <c r="L114" s="1">
        <f t="shared" si="49"/>
        <v>50.089916967404449</v>
      </c>
      <c r="M114" s="38">
        <f t="shared" si="50"/>
        <v>27.528048384650475</v>
      </c>
    </row>
    <row r="115" spans="1:13" x14ac:dyDescent="0.25">
      <c r="A115" s="40">
        <f t="shared" si="51"/>
        <v>351</v>
      </c>
      <c r="B115" s="37" t="e">
        <f t="shared" si="39"/>
        <v>#N/A</v>
      </c>
      <c r="C115" s="1" t="e">
        <f t="shared" si="40"/>
        <v>#N/A</v>
      </c>
      <c r="D115" s="1" t="e">
        <f t="shared" si="41"/>
        <v>#N/A</v>
      </c>
      <c r="E115" s="1" t="e">
        <f t="shared" si="42"/>
        <v>#N/A</v>
      </c>
      <c r="F115" s="1" t="e">
        <f t="shared" si="43"/>
        <v>#N/A</v>
      </c>
      <c r="G115" s="38" t="e">
        <f t="shared" si="44"/>
        <v>#N/A</v>
      </c>
      <c r="H115" s="37">
        <f t="shared" si="45"/>
        <v>104999.99999999999</v>
      </c>
      <c r="I115" s="1">
        <f t="shared" si="46"/>
        <v>9971.5099715099714</v>
      </c>
      <c r="J115" s="1">
        <f t="shared" si="47"/>
        <v>12500</v>
      </c>
      <c r="K115" s="1">
        <f t="shared" si="48"/>
        <v>124809.98196776117</v>
      </c>
      <c r="L115" s="1">
        <f t="shared" si="49"/>
        <v>50.087494977136814</v>
      </c>
      <c r="M115" s="38">
        <f t="shared" si="50"/>
        <v>27.526717325041862</v>
      </c>
    </row>
    <row r="116" spans="1:13" x14ac:dyDescent="0.25">
      <c r="A116" s="40">
        <f t="shared" si="51"/>
        <v>352</v>
      </c>
      <c r="B116" s="37" t="e">
        <f t="shared" si="39"/>
        <v>#N/A</v>
      </c>
      <c r="C116" s="1" t="e">
        <f t="shared" si="40"/>
        <v>#N/A</v>
      </c>
      <c r="D116" s="1" t="e">
        <f t="shared" si="41"/>
        <v>#N/A</v>
      </c>
      <c r="E116" s="1" t="e">
        <f t="shared" si="42"/>
        <v>#N/A</v>
      </c>
      <c r="F116" s="1" t="e">
        <f t="shared" si="43"/>
        <v>#N/A</v>
      </c>
      <c r="G116" s="38" t="e">
        <f t="shared" si="44"/>
        <v>#N/A</v>
      </c>
      <c r="H116" s="37">
        <f t="shared" si="45"/>
        <v>104999.99999999999</v>
      </c>
      <c r="I116" s="1">
        <f t="shared" si="46"/>
        <v>9943.1818181818198</v>
      </c>
      <c r="J116" s="1">
        <f t="shared" si="47"/>
        <v>12500</v>
      </c>
      <c r="K116" s="1">
        <f t="shared" si="48"/>
        <v>124803.99778181959</v>
      </c>
      <c r="L116" s="1">
        <f t="shared" si="49"/>
        <v>50.085093463423213</v>
      </c>
      <c r="M116" s="38">
        <f t="shared" si="50"/>
        <v>27.525397518787287</v>
      </c>
    </row>
    <row r="117" spans="1:13" x14ac:dyDescent="0.25">
      <c r="A117" s="40">
        <f t="shared" si="51"/>
        <v>353</v>
      </c>
      <c r="B117" s="37" t="e">
        <f t="shared" si="39"/>
        <v>#N/A</v>
      </c>
      <c r="C117" s="1" t="e">
        <f t="shared" si="40"/>
        <v>#N/A</v>
      </c>
      <c r="D117" s="1" t="e">
        <f t="shared" si="41"/>
        <v>#N/A</v>
      </c>
      <c r="E117" s="1" t="e">
        <f t="shared" si="42"/>
        <v>#N/A</v>
      </c>
      <c r="F117" s="1" t="e">
        <f t="shared" si="43"/>
        <v>#N/A</v>
      </c>
      <c r="G117" s="38" t="e">
        <f t="shared" si="44"/>
        <v>#N/A</v>
      </c>
      <c r="H117" s="37">
        <f t="shared" si="45"/>
        <v>104999.99999999999</v>
      </c>
      <c r="I117" s="1">
        <f t="shared" si="46"/>
        <v>9915.0141643059487</v>
      </c>
      <c r="J117" s="1">
        <f t="shared" si="47"/>
        <v>12500</v>
      </c>
      <c r="K117" s="1">
        <f t="shared" si="48"/>
        <v>124798.06404751747</v>
      </c>
      <c r="L117" s="1">
        <f t="shared" si="49"/>
        <v>50.082712196457479</v>
      </c>
      <c r="M117" s="38">
        <f t="shared" si="50"/>
        <v>27.524088839591592</v>
      </c>
    </row>
    <row r="118" spans="1:13" x14ac:dyDescent="0.25">
      <c r="A118" s="40">
        <f t="shared" si="51"/>
        <v>354</v>
      </c>
      <c r="B118" s="37" t="e">
        <f t="shared" si="39"/>
        <v>#N/A</v>
      </c>
      <c r="C118" s="1" t="e">
        <f t="shared" si="40"/>
        <v>#N/A</v>
      </c>
      <c r="D118" s="1" t="e">
        <f t="shared" si="41"/>
        <v>#N/A</v>
      </c>
      <c r="E118" s="1" t="e">
        <f t="shared" si="42"/>
        <v>#N/A</v>
      </c>
      <c r="F118" s="1" t="e">
        <f t="shared" si="43"/>
        <v>#N/A</v>
      </c>
      <c r="G118" s="38" t="e">
        <f t="shared" si="44"/>
        <v>#N/A</v>
      </c>
      <c r="H118" s="37">
        <f t="shared" si="45"/>
        <v>104999.99999999999</v>
      </c>
      <c r="I118" s="1">
        <f t="shared" si="46"/>
        <v>9887.0056497175137</v>
      </c>
      <c r="J118" s="1">
        <f t="shared" si="47"/>
        <v>12500</v>
      </c>
      <c r="K118" s="1">
        <f t="shared" si="48"/>
        <v>124792.18020021314</v>
      </c>
      <c r="L118" s="1">
        <f t="shared" si="49"/>
        <v>50.080350949643282</v>
      </c>
      <c r="M118" s="38">
        <f t="shared" si="50"/>
        <v>27.522791162923617</v>
      </c>
    </row>
    <row r="119" spans="1:13" x14ac:dyDescent="0.25">
      <c r="A119" s="40">
        <f t="shared" si="51"/>
        <v>355</v>
      </c>
      <c r="B119" s="37" t="e">
        <f t="shared" si="39"/>
        <v>#N/A</v>
      </c>
      <c r="C119" s="1" t="e">
        <f t="shared" si="40"/>
        <v>#N/A</v>
      </c>
      <c r="D119" s="1" t="e">
        <f t="shared" si="41"/>
        <v>#N/A</v>
      </c>
      <c r="E119" s="1" t="e">
        <f t="shared" si="42"/>
        <v>#N/A</v>
      </c>
      <c r="F119" s="1" t="e">
        <f t="shared" si="43"/>
        <v>#N/A</v>
      </c>
      <c r="G119" s="38" t="e">
        <f t="shared" si="44"/>
        <v>#N/A</v>
      </c>
      <c r="H119" s="37">
        <f t="shared" si="45"/>
        <v>104999.99999999999</v>
      </c>
      <c r="I119" s="1">
        <f t="shared" si="46"/>
        <v>9859.1549295774657</v>
      </c>
      <c r="J119" s="1">
        <f t="shared" si="47"/>
        <v>12500</v>
      </c>
      <c r="K119" s="1">
        <f t="shared" si="48"/>
        <v>124786.34568312966</v>
      </c>
      <c r="L119" s="1">
        <f t="shared" si="49"/>
        <v>50.078009499540443</v>
      </c>
      <c r="M119" s="38">
        <f t="shared" si="50"/>
        <v>27.521504365986761</v>
      </c>
    </row>
    <row r="120" spans="1:13" x14ac:dyDescent="0.25">
      <c r="A120" s="40">
        <f t="shared" si="51"/>
        <v>356</v>
      </c>
      <c r="B120" s="37" t="e">
        <f t="shared" si="39"/>
        <v>#N/A</v>
      </c>
      <c r="C120" s="1" t="e">
        <f t="shared" si="40"/>
        <v>#N/A</v>
      </c>
      <c r="D120" s="1" t="e">
        <f t="shared" si="41"/>
        <v>#N/A</v>
      </c>
      <c r="E120" s="1" t="e">
        <f t="shared" si="42"/>
        <v>#N/A</v>
      </c>
      <c r="F120" s="1" t="e">
        <f t="shared" si="43"/>
        <v>#N/A</v>
      </c>
      <c r="G120" s="38" t="e">
        <f t="shared" si="44"/>
        <v>#N/A</v>
      </c>
      <c r="H120" s="37">
        <f t="shared" si="45"/>
        <v>104999.99999999999</v>
      </c>
      <c r="I120" s="1">
        <f t="shared" si="46"/>
        <v>9831.4606741573043</v>
      </c>
      <c r="J120" s="1">
        <f t="shared" si="47"/>
        <v>12500</v>
      </c>
      <c r="K120" s="1">
        <f t="shared" si="48"/>
        <v>124780.55994722406</v>
      </c>
      <c r="L120" s="1">
        <f t="shared" si="49"/>
        <v>50.075687625812549</v>
      </c>
      <c r="M120" s="38">
        <f t="shared" si="50"/>
        <v>27.520228327690148</v>
      </c>
    </row>
    <row r="121" spans="1:13" x14ac:dyDescent="0.25">
      <c r="A121" s="40">
        <f t="shared" si="51"/>
        <v>357</v>
      </c>
      <c r="B121" s="37" t="e">
        <f t="shared" si="39"/>
        <v>#N/A</v>
      </c>
      <c r="C121" s="1" t="e">
        <f t="shared" si="40"/>
        <v>#N/A</v>
      </c>
      <c r="D121" s="1" t="e">
        <f t="shared" si="41"/>
        <v>#N/A</v>
      </c>
      <c r="E121" s="1" t="e">
        <f t="shared" si="42"/>
        <v>#N/A</v>
      </c>
      <c r="F121" s="1" t="e">
        <f t="shared" si="43"/>
        <v>#N/A</v>
      </c>
      <c r="G121" s="38" t="e">
        <f t="shared" si="44"/>
        <v>#N/A</v>
      </c>
      <c r="H121" s="37">
        <f t="shared" si="45"/>
        <v>104999.99999999999</v>
      </c>
      <c r="I121" s="1">
        <f t="shared" si="46"/>
        <v>9803.9215686274529</v>
      </c>
      <c r="J121" s="1">
        <f t="shared" si="47"/>
        <v>12500</v>
      </c>
      <c r="K121" s="1">
        <f t="shared" si="48"/>
        <v>124774.8224510588</v>
      </c>
      <c r="L121" s="1">
        <f t="shared" si="49"/>
        <v>50.073385111175277</v>
      </c>
      <c r="M121" s="38">
        <f t="shared" si="50"/>
        <v>27.518962928620262</v>
      </c>
    </row>
    <row r="122" spans="1:13" x14ac:dyDescent="0.25">
      <c r="A122" s="40">
        <f t="shared" si="51"/>
        <v>358</v>
      </c>
      <c r="B122" s="37" t="e">
        <f t="shared" si="39"/>
        <v>#N/A</v>
      </c>
      <c r="C122" s="1" t="e">
        <f t="shared" si="40"/>
        <v>#N/A</v>
      </c>
      <c r="D122" s="1" t="e">
        <f t="shared" si="41"/>
        <v>#N/A</v>
      </c>
      <c r="E122" s="1" t="e">
        <f t="shared" si="42"/>
        <v>#N/A</v>
      </c>
      <c r="F122" s="1" t="e">
        <f t="shared" si="43"/>
        <v>#N/A</v>
      </c>
      <c r="G122" s="38" t="e">
        <f t="shared" si="44"/>
        <v>#N/A</v>
      </c>
      <c r="H122" s="37">
        <f t="shared" si="45"/>
        <v>104999.99999999999</v>
      </c>
      <c r="I122" s="1">
        <f t="shared" si="46"/>
        <v>9776.5363128491626</v>
      </c>
      <c r="J122" s="1">
        <f t="shared" si="47"/>
        <v>12500</v>
      </c>
      <c r="K122" s="1">
        <f t="shared" si="48"/>
        <v>124769.13266067604</v>
      </c>
      <c r="L122" s="1">
        <f t="shared" si="49"/>
        <v>50.071101741345991</v>
      </c>
      <c r="M122" s="38">
        <f t="shared" si="50"/>
        <v>27.51770805101323</v>
      </c>
    </row>
    <row r="123" spans="1:13" x14ac:dyDescent="0.25">
      <c r="A123" s="40">
        <f t="shared" si="51"/>
        <v>359</v>
      </c>
      <c r="B123" s="37" t="e">
        <f t="shared" si="39"/>
        <v>#N/A</v>
      </c>
      <c r="C123" s="1" t="e">
        <f t="shared" si="40"/>
        <v>#N/A</v>
      </c>
      <c r="D123" s="1" t="e">
        <f t="shared" si="41"/>
        <v>#N/A</v>
      </c>
      <c r="E123" s="1" t="e">
        <f t="shared" si="42"/>
        <v>#N/A</v>
      </c>
      <c r="F123" s="1" t="e">
        <f t="shared" si="43"/>
        <v>#N/A</v>
      </c>
      <c r="G123" s="38" t="e">
        <f t="shared" si="44"/>
        <v>#N/A</v>
      </c>
      <c r="H123" s="37">
        <f t="shared" si="45"/>
        <v>104999.99999999999</v>
      </c>
      <c r="I123" s="1">
        <f t="shared" si="46"/>
        <v>9749.3036211699164</v>
      </c>
      <c r="J123" s="1">
        <f t="shared" si="47"/>
        <v>12500</v>
      </c>
      <c r="K123" s="1">
        <f t="shared" si="48"/>
        <v>124763.49004947413</v>
      </c>
      <c r="L123" s="1">
        <f t="shared" si="49"/>
        <v>50.068837304994211</v>
      </c>
      <c r="M123" s="38">
        <f t="shared" si="50"/>
        <v>27.516463578727585</v>
      </c>
    </row>
    <row r="124" spans="1:13" x14ac:dyDescent="0.25">
      <c r="A124" s="40">
        <f t="shared" si="51"/>
        <v>360</v>
      </c>
      <c r="B124" s="37" t="e">
        <f t="shared" si="39"/>
        <v>#N/A</v>
      </c>
      <c r="C124" s="1" t="e">
        <f t="shared" si="40"/>
        <v>#N/A</v>
      </c>
      <c r="D124" s="1" t="e">
        <f t="shared" si="41"/>
        <v>#N/A</v>
      </c>
      <c r="E124" s="1" t="e">
        <f t="shared" si="42"/>
        <v>#N/A</v>
      </c>
      <c r="F124" s="1" t="e">
        <f t="shared" si="43"/>
        <v>#N/A</v>
      </c>
      <c r="G124" s="38" t="e">
        <f t="shared" si="44"/>
        <v>#N/A</v>
      </c>
      <c r="H124" s="37">
        <f t="shared" si="45"/>
        <v>104999.99999999999</v>
      </c>
      <c r="I124" s="1">
        <f t="shared" si="46"/>
        <v>9722.2222222222226</v>
      </c>
      <c r="J124" s="1">
        <f t="shared" si="47"/>
        <v>12500</v>
      </c>
      <c r="K124" s="1">
        <f t="shared" si="48"/>
        <v>124757.89409808643</v>
      </c>
      <c r="L124" s="1">
        <f t="shared" si="49"/>
        <v>50.066591593692877</v>
      </c>
      <c r="M124" s="38">
        <f t="shared" si="50"/>
        <v>27.515229397217542</v>
      </c>
    </row>
    <row r="125" spans="1:13" x14ac:dyDescent="0.25">
      <c r="A125" s="40">
        <f t="shared" si="51"/>
        <v>361</v>
      </c>
      <c r="B125" s="37" t="e">
        <f t="shared" si="39"/>
        <v>#N/A</v>
      </c>
      <c r="C125" s="1" t="e">
        <f t="shared" si="40"/>
        <v>#N/A</v>
      </c>
      <c r="D125" s="1" t="e">
        <f t="shared" si="41"/>
        <v>#N/A</v>
      </c>
      <c r="E125" s="1" t="e">
        <f t="shared" si="42"/>
        <v>#N/A</v>
      </c>
      <c r="F125" s="1" t="e">
        <f t="shared" si="43"/>
        <v>#N/A</v>
      </c>
      <c r="G125" s="38" t="e">
        <f t="shared" si="44"/>
        <v>#N/A</v>
      </c>
      <c r="H125" s="37">
        <f t="shared" si="45"/>
        <v>104999.99999999999</v>
      </c>
      <c r="I125" s="1">
        <f t="shared" si="46"/>
        <v>9695.2908587257625</v>
      </c>
      <c r="J125" s="1">
        <f t="shared" si="47"/>
        <v>12500</v>
      </c>
      <c r="K125" s="1">
        <f t="shared" si="48"/>
        <v>124752.34429426267</v>
      </c>
      <c r="L125" s="1">
        <f t="shared" si="49"/>
        <v>50.064364401870854</v>
      </c>
      <c r="M125" s="38">
        <f t="shared" si="50"/>
        <v>27.514005393506803</v>
      </c>
    </row>
    <row r="126" spans="1:13" x14ac:dyDescent="0.25">
      <c r="A126" s="40">
        <f t="shared" si="51"/>
        <v>362</v>
      </c>
      <c r="B126" s="37" t="e">
        <f t="shared" si="39"/>
        <v>#N/A</v>
      </c>
      <c r="C126" s="1" t="e">
        <f t="shared" si="40"/>
        <v>#N/A</v>
      </c>
      <c r="D126" s="1" t="e">
        <f t="shared" si="41"/>
        <v>#N/A</v>
      </c>
      <c r="E126" s="1" t="e">
        <f t="shared" si="42"/>
        <v>#N/A</v>
      </c>
      <c r="F126" s="1" t="e">
        <f t="shared" si="43"/>
        <v>#N/A</v>
      </c>
      <c r="G126" s="38" t="e">
        <f t="shared" si="44"/>
        <v>#N/A</v>
      </c>
      <c r="H126" s="37">
        <f t="shared" si="45"/>
        <v>104999.99999999999</v>
      </c>
      <c r="I126" s="1">
        <f t="shared" si="46"/>
        <v>9668.5082872928178</v>
      </c>
      <c r="J126" s="1">
        <f t="shared" si="47"/>
        <v>12500</v>
      </c>
      <c r="K126" s="1">
        <f t="shared" si="48"/>
        <v>124746.84013275235</v>
      </c>
      <c r="L126" s="1">
        <f t="shared" si="49"/>
        <v>50.062155526766034</v>
      </c>
      <c r="M126" s="38">
        <f t="shared" si="50"/>
        <v>27.512791456162873</v>
      </c>
    </row>
    <row r="127" spans="1:13" x14ac:dyDescent="0.25">
      <c r="A127" s="40">
        <f t="shared" si="51"/>
        <v>363</v>
      </c>
      <c r="B127" s="37" t="e">
        <f t="shared" si="39"/>
        <v>#N/A</v>
      </c>
      <c r="C127" s="1" t="e">
        <f t="shared" si="40"/>
        <v>#N/A</v>
      </c>
      <c r="D127" s="1" t="e">
        <f t="shared" si="41"/>
        <v>#N/A</v>
      </c>
      <c r="E127" s="1" t="e">
        <f t="shared" si="42"/>
        <v>#N/A</v>
      </c>
      <c r="F127" s="1" t="e">
        <f t="shared" si="43"/>
        <v>#N/A</v>
      </c>
      <c r="G127" s="38" t="e">
        <f t="shared" si="44"/>
        <v>#N/A</v>
      </c>
      <c r="H127" s="37">
        <f t="shared" si="45"/>
        <v>104999.99999999999</v>
      </c>
      <c r="I127" s="1">
        <f t="shared" si="46"/>
        <v>9641.8732782369152</v>
      </c>
      <c r="J127" s="1">
        <f t="shared" si="47"/>
        <v>12500</v>
      </c>
      <c r="K127" s="1">
        <f t="shared" si="48"/>
        <v>124741.38111519044</v>
      </c>
      <c r="L127" s="1">
        <f t="shared" si="49"/>
        <v>50.059964768379551</v>
      </c>
      <c r="M127" s="38">
        <f t="shared" si="50"/>
        <v>27.511587475271842</v>
      </c>
    </row>
    <row r="128" spans="1:13" x14ac:dyDescent="0.25">
      <c r="A128" s="40">
        <f t="shared" si="51"/>
        <v>364</v>
      </c>
      <c r="B128" s="37" t="e">
        <f t="shared" si="39"/>
        <v>#N/A</v>
      </c>
      <c r="C128" s="1" t="e">
        <f t="shared" si="40"/>
        <v>#N/A</v>
      </c>
      <c r="D128" s="1" t="e">
        <f t="shared" si="41"/>
        <v>#N/A</v>
      </c>
      <c r="E128" s="1" t="e">
        <f t="shared" si="42"/>
        <v>#N/A</v>
      </c>
      <c r="F128" s="1" t="e">
        <f t="shared" si="43"/>
        <v>#N/A</v>
      </c>
      <c r="G128" s="38" t="e">
        <f t="shared" si="44"/>
        <v>#N/A</v>
      </c>
      <c r="H128" s="37">
        <f t="shared" si="45"/>
        <v>104999.99999999999</v>
      </c>
      <c r="I128" s="1">
        <f t="shared" si="46"/>
        <v>9615.3846153846152</v>
      </c>
      <c r="J128" s="1">
        <f t="shared" si="47"/>
        <v>12500</v>
      </c>
      <c r="K128" s="1">
        <f t="shared" si="48"/>
        <v>124735.96674998529</v>
      </c>
      <c r="L128" s="1">
        <f t="shared" si="49"/>
        <v>50.057791929430756</v>
      </c>
      <c r="M128" s="38">
        <f t="shared" si="50"/>
        <v>27.510393342413661</v>
      </c>
    </row>
    <row r="129" spans="1:13" x14ac:dyDescent="0.25">
      <c r="A129" s="40">
        <f t="shared" si="51"/>
        <v>365</v>
      </c>
      <c r="B129" s="37" t="e">
        <f t="shared" si="39"/>
        <v>#N/A</v>
      </c>
      <c r="C129" s="1" t="e">
        <f t="shared" si="40"/>
        <v>#N/A</v>
      </c>
      <c r="D129" s="1" t="e">
        <f t="shared" si="41"/>
        <v>#N/A</v>
      </c>
      <c r="E129" s="1" t="e">
        <f t="shared" si="42"/>
        <v>#N/A</v>
      </c>
      <c r="F129" s="1" t="e">
        <f t="shared" si="43"/>
        <v>#N/A</v>
      </c>
      <c r="G129" s="38" t="e">
        <f t="shared" si="44"/>
        <v>#N/A</v>
      </c>
      <c r="H129" s="37">
        <f t="shared" si="45"/>
        <v>104999.99999999999</v>
      </c>
      <c r="I129" s="1">
        <f t="shared" si="46"/>
        <v>9589.0410958904122</v>
      </c>
      <c r="J129" s="1">
        <f t="shared" si="47"/>
        <v>12500</v>
      </c>
      <c r="K129" s="1">
        <f t="shared" si="48"/>
        <v>124730.59655220863</v>
      </c>
      <c r="L129" s="1">
        <f t="shared" si="49"/>
        <v>50.055636815313093</v>
      </c>
      <c r="M129" s="38">
        <f t="shared" si="50"/>
        <v>27.509208950637884</v>
      </c>
    </row>
    <row r="130" spans="1:13" x14ac:dyDescent="0.25">
      <c r="A130" s="40">
        <f t="shared" si="51"/>
        <v>366</v>
      </c>
      <c r="B130" s="37" t="e">
        <f t="shared" si="39"/>
        <v>#N/A</v>
      </c>
      <c r="C130" s="1" t="e">
        <f t="shared" si="40"/>
        <v>#N/A</v>
      </c>
      <c r="D130" s="1" t="e">
        <f t="shared" si="41"/>
        <v>#N/A</v>
      </c>
      <c r="E130" s="1" t="e">
        <f t="shared" si="42"/>
        <v>#N/A</v>
      </c>
      <c r="F130" s="1" t="e">
        <f t="shared" si="43"/>
        <v>#N/A</v>
      </c>
      <c r="G130" s="38" t="e">
        <f t="shared" si="44"/>
        <v>#N/A</v>
      </c>
      <c r="H130" s="37">
        <f t="shared" si="45"/>
        <v>104999.99999999999</v>
      </c>
      <c r="I130" s="1">
        <f t="shared" si="46"/>
        <v>9562.841530054644</v>
      </c>
      <c r="J130" s="1">
        <f t="shared" si="47"/>
        <v>12500</v>
      </c>
      <c r="K130" s="1">
        <f t="shared" si="48"/>
        <v>124725.27004348753</v>
      </c>
      <c r="L130" s="1">
        <f t="shared" si="49"/>
        <v>50.053499234050697</v>
      </c>
      <c r="M130" s="38">
        <f t="shared" si="50"/>
        <v>27.508034194439826</v>
      </c>
    </row>
    <row r="131" spans="1:13" x14ac:dyDescent="0.25">
      <c r="A131" s="40">
        <f t="shared" si="51"/>
        <v>367</v>
      </c>
      <c r="B131" s="37" t="e">
        <f t="shared" si="39"/>
        <v>#N/A</v>
      </c>
      <c r="C131" s="1" t="e">
        <f t="shared" si="40"/>
        <v>#N/A</v>
      </c>
      <c r="D131" s="1" t="e">
        <f t="shared" si="41"/>
        <v>#N/A</v>
      </c>
      <c r="E131" s="1" t="e">
        <f t="shared" si="42"/>
        <v>#N/A</v>
      </c>
      <c r="F131" s="1" t="e">
        <f t="shared" si="43"/>
        <v>#N/A</v>
      </c>
      <c r="G131" s="38" t="e">
        <f t="shared" si="44"/>
        <v>#N/A</v>
      </c>
      <c r="H131" s="37">
        <f t="shared" si="45"/>
        <v>104999.99999999999</v>
      </c>
      <c r="I131" s="1">
        <f t="shared" si="46"/>
        <v>9536.7847411444145</v>
      </c>
      <c r="J131" s="1">
        <f t="shared" si="47"/>
        <v>12500</v>
      </c>
      <c r="K131" s="1">
        <f t="shared" si="48"/>
        <v>124719.98675189866</v>
      </c>
      <c r="L131" s="1">
        <f t="shared" si="49"/>
        <v>50.051378996256034</v>
      </c>
      <c r="M131" s="38">
        <f t="shared" si="50"/>
        <v>27.506868969737287</v>
      </c>
    </row>
    <row r="132" spans="1:13" x14ac:dyDescent="0.25">
      <c r="A132" s="40">
        <f t="shared" si="51"/>
        <v>368</v>
      </c>
      <c r="B132" s="37" t="e">
        <f t="shared" ref="B132:B151" si="52">IF(Load_Case=1,3*(FL_SUS*H_STRB)/((L_STRB*0.001)^2),NA())</f>
        <v>#N/A</v>
      </c>
      <c r="C132" s="1" t="e">
        <f t="shared" ref="C132:C151" si="53">IF(Load_Case=1,(FC_SUS*H_STRB)/(L_STRB*A132*0.000001),NA())</f>
        <v>#N/A</v>
      </c>
      <c r="D132" s="1" t="e">
        <f t="shared" ref="D132:D151" si="54">IF(Load_Case=1,FA_SUS*1000/(2*L_STRB*0.001),NA())</f>
        <v>#N/A</v>
      </c>
      <c r="E132" s="1" t="e">
        <f t="shared" ref="E132:E151" si="55">IF(Load_Case=1,1.5*D132+SQRT((B132^2+(1.5*C132)^2)),NA())</f>
        <v>#N/A</v>
      </c>
      <c r="F132" s="1" t="e">
        <f t="shared" ref="F132:F151" si="56">IF(SL_STRB,(1.17*E132*SQRT(0.5*D*0.001))*0.000001/((tnet_STRB*0.001)^1.5),NA())</f>
        <v>#N/A</v>
      </c>
      <c r="G132" s="38" t="e">
        <f t="shared" ref="G132:G151" si="57">IF(SC_STRB,(0.643*E132*SQRT((D*0.5)*0.001))*0.000001/((tnet_STRB*0.001)^1.5),NA())</f>
        <v>#N/A</v>
      </c>
      <c r="H132" s="37">
        <f t="shared" ref="H132:H151" si="58">IF(Load_Case=2,3*(FL_EXP*H_STRB)/((L_STRB*0.001)^2),NA())</f>
        <v>104999.99999999999</v>
      </c>
      <c r="I132" s="1">
        <f t="shared" ref="I132:I151" si="59">IF(Load_Case=2,(FC_EXP*H_STRB)/(L_STRB*A132*0.000001),NA())</f>
        <v>9510.8695652173919</v>
      </c>
      <c r="J132" s="1">
        <f t="shared" ref="J132:J151" si="60">IF(Load_Case=2,FA_EXP*1000/(2*L_STRB*0.001),NA())</f>
        <v>12500</v>
      </c>
      <c r="K132" s="1">
        <f t="shared" ref="K132:K151" si="61">IF(Load_Case=2,1.5*J132+SQRT((H132^2+(1.5*I132)^2)),NA())</f>
        <v>124714.74621186424</v>
      </c>
      <c r="L132" s="1">
        <f t="shared" ref="L132:L151" si="62">IF(SL_STRB,(1.17*K132*SQRT(0.5*D*0.001))*0.000001/((tnet_STRB*0.001)^1.5),NA())</f>
        <v>50.049275915088053</v>
      </c>
      <c r="M132" s="38">
        <f t="shared" ref="M132:M151" si="63">IF(SC_STRB,(0.643*K132*SQRT((D*0.5)*0.001))*0.000001/((tnet_STRB*0.001)^1.5),NA())</f>
        <v>27.505713173847543</v>
      </c>
    </row>
    <row r="133" spans="1:13" x14ac:dyDescent="0.25">
      <c r="A133" s="40">
        <f t="shared" ref="A133:A151" si="64">IF((A132+B_STRB_Increment)&gt;Max_STRB_B,NA(),A132+B_STRB_Increment)</f>
        <v>369</v>
      </c>
      <c r="B133" s="37" t="e">
        <f t="shared" si="52"/>
        <v>#N/A</v>
      </c>
      <c r="C133" s="1" t="e">
        <f t="shared" si="53"/>
        <v>#N/A</v>
      </c>
      <c r="D133" s="1" t="e">
        <f t="shared" si="54"/>
        <v>#N/A</v>
      </c>
      <c r="E133" s="1" t="e">
        <f t="shared" si="55"/>
        <v>#N/A</v>
      </c>
      <c r="F133" s="1" t="e">
        <f t="shared" si="56"/>
        <v>#N/A</v>
      </c>
      <c r="G133" s="38" t="e">
        <f t="shared" si="57"/>
        <v>#N/A</v>
      </c>
      <c r="H133" s="37">
        <f t="shared" si="58"/>
        <v>104999.99999999999</v>
      </c>
      <c r="I133" s="1">
        <f t="shared" si="59"/>
        <v>9485.0948509485115</v>
      </c>
      <c r="J133" s="1">
        <f t="shared" si="60"/>
        <v>12500</v>
      </c>
      <c r="K133" s="1">
        <f t="shared" si="61"/>
        <v>124709.54796405017</v>
      </c>
      <c r="L133" s="1">
        <f t="shared" si="62"/>
        <v>50.047189806211414</v>
      </c>
      <c r="M133" s="38">
        <f t="shared" si="63"/>
        <v>27.504566705464903</v>
      </c>
    </row>
    <row r="134" spans="1:13" x14ac:dyDescent="0.25">
      <c r="A134" s="40">
        <f t="shared" si="64"/>
        <v>370</v>
      </c>
      <c r="B134" s="37" t="e">
        <f t="shared" si="52"/>
        <v>#N/A</v>
      </c>
      <c r="C134" s="1" t="e">
        <f t="shared" si="53"/>
        <v>#N/A</v>
      </c>
      <c r="D134" s="1" t="e">
        <f t="shared" si="54"/>
        <v>#N/A</v>
      </c>
      <c r="E134" s="1" t="e">
        <f t="shared" si="55"/>
        <v>#N/A</v>
      </c>
      <c r="F134" s="1" t="e">
        <f t="shared" si="56"/>
        <v>#N/A</v>
      </c>
      <c r="G134" s="38" t="e">
        <f t="shared" si="57"/>
        <v>#N/A</v>
      </c>
      <c r="H134" s="37">
        <f t="shared" si="58"/>
        <v>104999.99999999999</v>
      </c>
      <c r="I134" s="1">
        <f t="shared" si="59"/>
        <v>9459.45945945946</v>
      </c>
      <c r="J134" s="1">
        <f t="shared" si="60"/>
        <v>12500</v>
      </c>
      <c r="K134" s="1">
        <f t="shared" si="61"/>
        <v>124704.39155526589</v>
      </c>
      <c r="L134" s="1">
        <f t="shared" si="62"/>
        <v>50.045120487756179</v>
      </c>
      <c r="M134" s="38">
        <f t="shared" si="63"/>
        <v>27.50342946463865</v>
      </c>
    </row>
    <row r="135" spans="1:13" x14ac:dyDescent="0.25">
      <c r="A135" s="40">
        <f t="shared" si="64"/>
        <v>371</v>
      </c>
      <c r="B135" s="37" t="e">
        <f t="shared" si="52"/>
        <v>#N/A</v>
      </c>
      <c r="C135" s="1" t="e">
        <f t="shared" si="53"/>
        <v>#N/A</v>
      </c>
      <c r="D135" s="1" t="e">
        <f t="shared" si="54"/>
        <v>#N/A</v>
      </c>
      <c r="E135" s="1" t="e">
        <f t="shared" si="55"/>
        <v>#N/A</v>
      </c>
      <c r="F135" s="1" t="e">
        <f t="shared" si="56"/>
        <v>#N/A</v>
      </c>
      <c r="G135" s="38" t="e">
        <f t="shared" si="57"/>
        <v>#N/A</v>
      </c>
      <c r="H135" s="37">
        <f t="shared" si="58"/>
        <v>104999.99999999999</v>
      </c>
      <c r="I135" s="1">
        <f t="shared" si="59"/>
        <v>9433.9622641509432</v>
      </c>
      <c r="J135" s="1">
        <f t="shared" si="60"/>
        <v>12500</v>
      </c>
      <c r="K135" s="1">
        <f t="shared" si="61"/>
        <v>124699.27653836623</v>
      </c>
      <c r="L135" s="1">
        <f t="shared" si="62"/>
        <v>50.043067780278541</v>
      </c>
      <c r="M135" s="38">
        <f t="shared" si="63"/>
        <v>27.502301352751367</v>
      </c>
    </row>
    <row r="136" spans="1:13" x14ac:dyDescent="0.25">
      <c r="A136" s="40">
        <f t="shared" si="64"/>
        <v>372</v>
      </c>
      <c r="B136" s="37" t="e">
        <f t="shared" si="52"/>
        <v>#N/A</v>
      </c>
      <c r="C136" s="1" t="e">
        <f t="shared" si="53"/>
        <v>#N/A</v>
      </c>
      <c r="D136" s="1" t="e">
        <f t="shared" si="54"/>
        <v>#N/A</v>
      </c>
      <c r="E136" s="1" t="e">
        <f t="shared" si="55"/>
        <v>#N/A</v>
      </c>
      <c r="F136" s="1" t="e">
        <f t="shared" si="56"/>
        <v>#N/A</v>
      </c>
      <c r="G136" s="38" t="e">
        <f t="shared" si="57"/>
        <v>#N/A</v>
      </c>
      <c r="H136" s="37">
        <f t="shared" si="58"/>
        <v>104999.99999999999</v>
      </c>
      <c r="I136" s="1">
        <f t="shared" si="59"/>
        <v>9408.6021505376357</v>
      </c>
      <c r="J136" s="1">
        <f t="shared" si="60"/>
        <v>12500</v>
      </c>
      <c r="K136" s="1">
        <f t="shared" si="61"/>
        <v>124694.202472155</v>
      </c>
      <c r="L136" s="1">
        <f t="shared" si="62"/>
        <v>50.041031506722028</v>
      </c>
      <c r="M136" s="38">
        <f t="shared" si="63"/>
        <v>27.501182272497665</v>
      </c>
    </row>
    <row r="137" spans="1:13" x14ac:dyDescent="0.25">
      <c r="A137" s="40">
        <f t="shared" si="64"/>
        <v>373</v>
      </c>
      <c r="B137" s="37" t="e">
        <f t="shared" si="52"/>
        <v>#N/A</v>
      </c>
      <c r="C137" s="1" t="e">
        <f t="shared" si="53"/>
        <v>#N/A</v>
      </c>
      <c r="D137" s="1" t="e">
        <f t="shared" si="54"/>
        <v>#N/A</v>
      </c>
      <c r="E137" s="1" t="e">
        <f t="shared" si="55"/>
        <v>#N/A</v>
      </c>
      <c r="F137" s="1" t="e">
        <f t="shared" si="56"/>
        <v>#N/A</v>
      </c>
      <c r="G137" s="38" t="e">
        <f t="shared" si="57"/>
        <v>#N/A</v>
      </c>
      <c r="H137" s="37">
        <f t="shared" si="58"/>
        <v>104999.99999999999</v>
      </c>
      <c r="I137" s="1">
        <f t="shared" si="59"/>
        <v>9383.3780160857914</v>
      </c>
      <c r="J137" s="1">
        <f t="shared" si="60"/>
        <v>12500</v>
      </c>
      <c r="K137" s="1">
        <f t="shared" si="61"/>
        <v>124689.16892129045</v>
      </c>
      <c r="L137" s="1">
        <f t="shared" si="62"/>
        <v>50.039011492379672</v>
      </c>
      <c r="M137" s="38">
        <f t="shared" si="63"/>
        <v>27.500072127863351</v>
      </c>
    </row>
    <row r="138" spans="1:13" x14ac:dyDescent="0.25">
      <c r="A138" s="40">
        <f t="shared" si="64"/>
        <v>374</v>
      </c>
      <c r="B138" s="37" t="e">
        <f t="shared" si="52"/>
        <v>#N/A</v>
      </c>
      <c r="C138" s="1" t="e">
        <f t="shared" si="53"/>
        <v>#N/A</v>
      </c>
      <c r="D138" s="1" t="e">
        <f t="shared" si="54"/>
        <v>#N/A</v>
      </c>
      <c r="E138" s="1" t="e">
        <f t="shared" si="55"/>
        <v>#N/A</v>
      </c>
      <c r="F138" s="1" t="e">
        <f t="shared" si="56"/>
        <v>#N/A</v>
      </c>
      <c r="G138" s="38" t="e">
        <f t="shared" si="57"/>
        <v>#N/A</v>
      </c>
      <c r="H138" s="37">
        <f t="shared" si="58"/>
        <v>104999.99999999999</v>
      </c>
      <c r="I138" s="1">
        <f t="shared" si="59"/>
        <v>9358.2887700534775</v>
      </c>
      <c r="J138" s="1">
        <f t="shared" si="60"/>
        <v>12500</v>
      </c>
      <c r="K138" s="1">
        <f t="shared" si="61"/>
        <v>124684.17545619233</v>
      </c>
      <c r="L138" s="1">
        <f t="shared" si="62"/>
        <v>50.03700756485658</v>
      </c>
      <c r="M138" s="38">
        <f t="shared" si="63"/>
        <v>27.498970824104941</v>
      </c>
    </row>
    <row r="139" spans="1:13" x14ac:dyDescent="0.25">
      <c r="A139" s="40">
        <f t="shared" si="64"/>
        <v>375</v>
      </c>
      <c r="B139" s="37" t="e">
        <f t="shared" si="52"/>
        <v>#N/A</v>
      </c>
      <c r="C139" s="1" t="e">
        <f t="shared" si="53"/>
        <v>#N/A</v>
      </c>
      <c r="D139" s="1" t="e">
        <f t="shared" si="54"/>
        <v>#N/A</v>
      </c>
      <c r="E139" s="1" t="e">
        <f t="shared" si="55"/>
        <v>#N/A</v>
      </c>
      <c r="F139" s="1" t="e">
        <f t="shared" si="56"/>
        <v>#N/A</v>
      </c>
      <c r="G139" s="38" t="e">
        <f t="shared" si="57"/>
        <v>#N/A</v>
      </c>
      <c r="H139" s="37">
        <f t="shared" si="58"/>
        <v>104999.99999999999</v>
      </c>
      <c r="I139" s="1">
        <f t="shared" si="59"/>
        <v>9333.3333333333339</v>
      </c>
      <c r="J139" s="1">
        <f t="shared" si="60"/>
        <v>12500</v>
      </c>
      <c r="K139" s="1">
        <f t="shared" si="61"/>
        <v>124679.22165295087</v>
      </c>
      <c r="L139" s="1">
        <f t="shared" si="62"/>
        <v>50.035019554033553</v>
      </c>
      <c r="M139" s="38">
        <f t="shared" si="63"/>
        <v>27.497878267729554</v>
      </c>
    </row>
    <row r="140" spans="1:13" x14ac:dyDescent="0.25">
      <c r="A140" s="40">
        <f t="shared" si="64"/>
        <v>376</v>
      </c>
      <c r="B140" s="37" t="e">
        <f t="shared" si="52"/>
        <v>#N/A</v>
      </c>
      <c r="C140" s="1" t="e">
        <f t="shared" si="53"/>
        <v>#N/A</v>
      </c>
      <c r="D140" s="1" t="e">
        <f t="shared" si="54"/>
        <v>#N/A</v>
      </c>
      <c r="E140" s="1" t="e">
        <f t="shared" si="55"/>
        <v>#N/A</v>
      </c>
      <c r="F140" s="1" t="e">
        <f t="shared" si="56"/>
        <v>#N/A</v>
      </c>
      <c r="G140" s="38" t="e">
        <f t="shared" si="57"/>
        <v>#N/A</v>
      </c>
      <c r="H140" s="37">
        <f t="shared" si="58"/>
        <v>104999.99999999999</v>
      </c>
      <c r="I140" s="1">
        <f t="shared" si="59"/>
        <v>9308.510638297872</v>
      </c>
      <c r="J140" s="1">
        <f t="shared" si="60"/>
        <v>12500</v>
      </c>
      <c r="K140" s="1">
        <f t="shared" si="61"/>
        <v>124674.30709323725</v>
      </c>
      <c r="L140" s="1">
        <f t="shared" si="62"/>
        <v>50.033047292031021</v>
      </c>
      <c r="M140" s="38">
        <f t="shared" si="63"/>
        <v>27.496794366475175</v>
      </c>
    </row>
    <row r="141" spans="1:13" x14ac:dyDescent="0.25">
      <c r="A141" s="40">
        <f t="shared" si="64"/>
        <v>377</v>
      </c>
      <c r="B141" s="37" t="e">
        <f t="shared" si="52"/>
        <v>#N/A</v>
      </c>
      <c r="C141" s="1" t="e">
        <f t="shared" si="53"/>
        <v>#N/A</v>
      </c>
      <c r="D141" s="1" t="e">
        <f t="shared" si="54"/>
        <v>#N/A</v>
      </c>
      <c r="E141" s="1" t="e">
        <f t="shared" si="55"/>
        <v>#N/A</v>
      </c>
      <c r="F141" s="1" t="e">
        <f t="shared" si="56"/>
        <v>#N/A</v>
      </c>
      <c r="G141" s="38" t="e">
        <f t="shared" si="57"/>
        <v>#N/A</v>
      </c>
      <c r="H141" s="37">
        <f t="shared" si="58"/>
        <v>104999.99999999999</v>
      </c>
      <c r="I141" s="1">
        <f t="shared" si="59"/>
        <v>9283.8196286472157</v>
      </c>
      <c r="J141" s="1">
        <f t="shared" si="60"/>
        <v>12500</v>
      </c>
      <c r="K141" s="1">
        <f t="shared" si="61"/>
        <v>124669.43136421579</v>
      </c>
      <c r="L141" s="1">
        <f t="shared" si="62"/>
        <v>50.031090613173923</v>
      </c>
      <c r="M141" s="38">
        <f t="shared" si="63"/>
        <v>27.495719029291315</v>
      </c>
    </row>
    <row r="142" spans="1:13" x14ac:dyDescent="0.25">
      <c r="A142" s="40">
        <f t="shared" si="64"/>
        <v>378</v>
      </c>
      <c r="B142" s="37" t="e">
        <f t="shared" si="52"/>
        <v>#N/A</v>
      </c>
      <c r="C142" s="1" t="e">
        <f t="shared" si="53"/>
        <v>#N/A</v>
      </c>
      <c r="D142" s="1" t="e">
        <f t="shared" si="54"/>
        <v>#N/A</v>
      </c>
      <c r="E142" s="1" t="e">
        <f t="shared" si="55"/>
        <v>#N/A</v>
      </c>
      <c r="F142" s="1" t="e">
        <f t="shared" si="56"/>
        <v>#N/A</v>
      </c>
      <c r="G142" s="38" t="e">
        <f t="shared" si="57"/>
        <v>#N/A</v>
      </c>
      <c r="H142" s="37">
        <f t="shared" si="58"/>
        <v>104999.99999999999</v>
      </c>
      <c r="I142" s="1">
        <f t="shared" si="59"/>
        <v>9259.2592592592591</v>
      </c>
      <c r="J142" s="1">
        <f t="shared" si="60"/>
        <v>12500</v>
      </c>
      <c r="K142" s="1">
        <f t="shared" si="61"/>
        <v>124664.59405845776</v>
      </c>
      <c r="L142" s="1">
        <f t="shared" si="62"/>
        <v>50.029149353957003</v>
      </c>
      <c r="M142" s="38">
        <f t="shared" si="63"/>
        <v>27.494652166319959</v>
      </c>
    </row>
    <row r="143" spans="1:13" x14ac:dyDescent="0.25">
      <c r="A143" s="40">
        <f t="shared" si="64"/>
        <v>379</v>
      </c>
      <c r="B143" s="37" t="e">
        <f t="shared" si="52"/>
        <v>#N/A</v>
      </c>
      <c r="C143" s="1" t="e">
        <f t="shared" si="53"/>
        <v>#N/A</v>
      </c>
      <c r="D143" s="1" t="e">
        <f t="shared" si="54"/>
        <v>#N/A</v>
      </c>
      <c r="E143" s="1" t="e">
        <f t="shared" si="55"/>
        <v>#N/A</v>
      </c>
      <c r="F143" s="1" t="e">
        <f t="shared" si="56"/>
        <v>#N/A</v>
      </c>
      <c r="G143" s="38" t="e">
        <f t="shared" si="57"/>
        <v>#N/A</v>
      </c>
      <c r="H143" s="37">
        <f t="shared" si="58"/>
        <v>104999.99999999999</v>
      </c>
      <c r="I143" s="1">
        <f t="shared" si="59"/>
        <v>9234.828496042217</v>
      </c>
      <c r="J143" s="1">
        <f t="shared" si="60"/>
        <v>12500</v>
      </c>
      <c r="K143" s="1">
        <f t="shared" si="61"/>
        <v>124659.79477385673</v>
      </c>
      <c r="L143" s="1">
        <f t="shared" si="62"/>
        <v>50.027223353010939</v>
      </c>
      <c r="M143" s="38">
        <f t="shared" si="63"/>
        <v>27.493593688876953</v>
      </c>
    </row>
    <row r="144" spans="1:13" x14ac:dyDescent="0.25">
      <c r="A144" s="40">
        <f t="shared" si="64"/>
        <v>380</v>
      </c>
      <c r="B144" s="37" t="e">
        <f t="shared" si="52"/>
        <v>#N/A</v>
      </c>
      <c r="C144" s="1" t="e">
        <f t="shared" si="53"/>
        <v>#N/A</v>
      </c>
      <c r="D144" s="1" t="e">
        <f t="shared" si="54"/>
        <v>#N/A</v>
      </c>
      <c r="E144" s="1" t="e">
        <f t="shared" si="55"/>
        <v>#N/A</v>
      </c>
      <c r="F144" s="1" t="e">
        <f t="shared" si="56"/>
        <v>#N/A</v>
      </c>
      <c r="G144" s="38" t="e">
        <f t="shared" si="57"/>
        <v>#N/A</v>
      </c>
      <c r="H144" s="37">
        <f t="shared" si="58"/>
        <v>104999.99999999999</v>
      </c>
      <c r="I144" s="1">
        <f t="shared" si="59"/>
        <v>9210.5263157894733</v>
      </c>
      <c r="J144" s="1">
        <f t="shared" si="60"/>
        <v>12500</v>
      </c>
      <c r="K144" s="1">
        <f t="shared" si="61"/>
        <v>124655.03311354546</v>
      </c>
      <c r="L144" s="1">
        <f t="shared" si="62"/>
        <v>50.025312451068942</v>
      </c>
      <c r="M144" s="38">
        <f t="shared" si="63"/>
        <v>27.492543509433617</v>
      </c>
    </row>
    <row r="145" spans="1:13" x14ac:dyDescent="0.25">
      <c r="A145" s="40">
        <f t="shared" si="64"/>
        <v>381</v>
      </c>
      <c r="B145" s="37" t="e">
        <f t="shared" si="52"/>
        <v>#N/A</v>
      </c>
      <c r="C145" s="1" t="e">
        <f t="shared" si="53"/>
        <v>#N/A</v>
      </c>
      <c r="D145" s="1" t="e">
        <f t="shared" si="54"/>
        <v>#N/A</v>
      </c>
      <c r="E145" s="1" t="e">
        <f t="shared" si="55"/>
        <v>#N/A</v>
      </c>
      <c r="F145" s="1" t="e">
        <f t="shared" si="56"/>
        <v>#N/A</v>
      </c>
      <c r="G145" s="38" t="e">
        <f t="shared" si="57"/>
        <v>#N/A</v>
      </c>
      <c r="H145" s="37">
        <f t="shared" si="58"/>
        <v>104999.99999999999</v>
      </c>
      <c r="I145" s="1">
        <f t="shared" si="59"/>
        <v>9186.3517060367467</v>
      </c>
      <c r="J145" s="1">
        <f t="shared" si="60"/>
        <v>12500</v>
      </c>
      <c r="K145" s="1">
        <f t="shared" si="61"/>
        <v>124650.30868581429</v>
      </c>
      <c r="L145" s="1">
        <f t="shared" si="62"/>
        <v>50.02341649093399</v>
      </c>
      <c r="M145" s="38">
        <f t="shared" si="63"/>
        <v>27.491501541598765</v>
      </c>
    </row>
    <row r="146" spans="1:13" x14ac:dyDescent="0.25">
      <c r="A146" s="40">
        <f t="shared" si="64"/>
        <v>382</v>
      </c>
      <c r="B146" s="37" t="e">
        <f t="shared" si="52"/>
        <v>#N/A</v>
      </c>
      <c r="C146" s="1" t="e">
        <f t="shared" si="53"/>
        <v>#N/A</v>
      </c>
      <c r="D146" s="1" t="e">
        <f t="shared" si="54"/>
        <v>#N/A</v>
      </c>
      <c r="E146" s="1" t="e">
        <f t="shared" si="55"/>
        <v>#N/A</v>
      </c>
      <c r="F146" s="1" t="e">
        <f t="shared" si="56"/>
        <v>#N/A</v>
      </c>
      <c r="G146" s="38" t="e">
        <f t="shared" si="57"/>
        <v>#N/A</v>
      </c>
      <c r="H146" s="37">
        <f t="shared" si="58"/>
        <v>104999.99999999999</v>
      </c>
      <c r="I146" s="1">
        <f t="shared" si="59"/>
        <v>9162.3036649214664</v>
      </c>
      <c r="J146" s="1">
        <f t="shared" si="60"/>
        <v>12500</v>
      </c>
      <c r="K146" s="1">
        <f t="shared" si="61"/>
        <v>124645.62110403112</v>
      </c>
      <c r="L146" s="1">
        <f t="shared" si="62"/>
        <v>50.021535317446755</v>
      </c>
      <c r="M146" s="38">
        <f t="shared" si="63"/>
        <v>27.490467700101085</v>
      </c>
    </row>
    <row r="147" spans="1:13" x14ac:dyDescent="0.25">
      <c r="A147" s="40">
        <f t="shared" si="64"/>
        <v>383</v>
      </c>
      <c r="B147" s="37" t="e">
        <f t="shared" si="52"/>
        <v>#N/A</v>
      </c>
      <c r="C147" s="1" t="e">
        <f t="shared" si="53"/>
        <v>#N/A</v>
      </c>
      <c r="D147" s="1" t="e">
        <f t="shared" si="54"/>
        <v>#N/A</v>
      </c>
      <c r="E147" s="1" t="e">
        <f t="shared" si="55"/>
        <v>#N/A</v>
      </c>
      <c r="F147" s="1" t="e">
        <f t="shared" si="56"/>
        <v>#N/A</v>
      </c>
      <c r="G147" s="38" t="e">
        <f t="shared" si="57"/>
        <v>#N/A</v>
      </c>
      <c r="H147" s="37">
        <f t="shared" si="58"/>
        <v>104999.99999999999</v>
      </c>
      <c r="I147" s="1">
        <f t="shared" si="59"/>
        <v>9138.3812010443871</v>
      </c>
      <c r="J147" s="1">
        <f t="shared" si="60"/>
        <v>12500</v>
      </c>
      <c r="K147" s="1">
        <f t="shared" si="61"/>
        <v>124640.96998656259</v>
      </c>
      <c r="L147" s="1">
        <f t="shared" si="62"/>
        <v>50.019668777453951</v>
      </c>
      <c r="M147" s="38">
        <f t="shared" si="63"/>
        <v>27.489441900771709</v>
      </c>
    </row>
    <row r="148" spans="1:13" x14ac:dyDescent="0.25">
      <c r="A148" s="40">
        <f t="shared" si="64"/>
        <v>384</v>
      </c>
      <c r="B148" s="37" t="e">
        <f t="shared" si="52"/>
        <v>#N/A</v>
      </c>
      <c r="C148" s="1" t="e">
        <f t="shared" si="53"/>
        <v>#N/A</v>
      </c>
      <c r="D148" s="1" t="e">
        <f t="shared" si="54"/>
        <v>#N/A</v>
      </c>
      <c r="E148" s="1" t="e">
        <f t="shared" si="55"/>
        <v>#N/A</v>
      </c>
      <c r="F148" s="1" t="e">
        <f t="shared" si="56"/>
        <v>#N/A</v>
      </c>
      <c r="G148" s="38" t="e">
        <f t="shared" si="57"/>
        <v>#N/A</v>
      </c>
      <c r="H148" s="37">
        <f t="shared" si="58"/>
        <v>104999.99999999999</v>
      </c>
      <c r="I148" s="1">
        <f t="shared" si="59"/>
        <v>9114.5833333333339</v>
      </c>
      <c r="J148" s="1">
        <f t="shared" si="60"/>
        <v>12500</v>
      </c>
      <c r="K148" s="1">
        <f t="shared" si="61"/>
        <v>124636.35495669695</v>
      </c>
      <c r="L148" s="1">
        <f t="shared" si="62"/>
        <v>50.017816719777393</v>
      </c>
      <c r="M148" s="38">
        <f t="shared" si="63"/>
        <v>27.488424060527237</v>
      </c>
    </row>
    <row r="149" spans="1:13" x14ac:dyDescent="0.25">
      <c r="A149" s="40">
        <f t="shared" si="64"/>
        <v>385</v>
      </c>
      <c r="B149" s="37" t="e">
        <f t="shared" si="52"/>
        <v>#N/A</v>
      </c>
      <c r="C149" s="1" t="e">
        <f t="shared" si="53"/>
        <v>#N/A</v>
      </c>
      <c r="D149" s="1" t="e">
        <f t="shared" si="54"/>
        <v>#N/A</v>
      </c>
      <c r="E149" s="1" t="e">
        <f t="shared" si="55"/>
        <v>#N/A</v>
      </c>
      <c r="F149" s="1" t="e">
        <f t="shared" si="56"/>
        <v>#N/A</v>
      </c>
      <c r="G149" s="38" t="e">
        <f t="shared" si="57"/>
        <v>#N/A</v>
      </c>
      <c r="H149" s="37">
        <f t="shared" si="58"/>
        <v>104999.99999999999</v>
      </c>
      <c r="I149" s="1">
        <f t="shared" si="59"/>
        <v>9090.9090909090919</v>
      </c>
      <c r="J149" s="1">
        <f t="shared" si="60"/>
        <v>12500</v>
      </c>
      <c r="K149" s="1">
        <f t="shared" si="61"/>
        <v>124631.77564256814</v>
      </c>
      <c r="L149" s="1">
        <f t="shared" si="62"/>
        <v>50.015978995183509</v>
      </c>
      <c r="M149" s="38">
        <f t="shared" si="63"/>
        <v>27.487414097352989</v>
      </c>
    </row>
    <row r="150" spans="1:13" x14ac:dyDescent="0.25">
      <c r="A150" s="40">
        <f t="shared" si="64"/>
        <v>386</v>
      </c>
      <c r="B150" s="37" t="e">
        <f t="shared" si="52"/>
        <v>#N/A</v>
      </c>
      <c r="C150" s="1" t="e">
        <f t="shared" si="53"/>
        <v>#N/A</v>
      </c>
      <c r="D150" s="1" t="e">
        <f t="shared" si="54"/>
        <v>#N/A</v>
      </c>
      <c r="E150" s="1" t="e">
        <f t="shared" si="55"/>
        <v>#N/A</v>
      </c>
      <c r="F150" s="1" t="e">
        <f t="shared" si="56"/>
        <v>#N/A</v>
      </c>
      <c r="G150" s="38" t="e">
        <f t="shared" si="57"/>
        <v>#N/A</v>
      </c>
      <c r="H150" s="37">
        <f t="shared" si="58"/>
        <v>104999.99999999999</v>
      </c>
      <c r="I150" s="1">
        <f t="shared" si="59"/>
        <v>9067.3575129533692</v>
      </c>
      <c r="J150" s="1">
        <f t="shared" si="60"/>
        <v>12500</v>
      </c>
      <c r="K150" s="1">
        <f t="shared" si="61"/>
        <v>124627.2316770813</v>
      </c>
      <c r="L150" s="1">
        <f t="shared" si="62"/>
        <v>50.014155456353436</v>
      </c>
      <c r="M150" s="38">
        <f t="shared" si="63"/>
        <v>27.48641193028655</v>
      </c>
    </row>
    <row r="151" spans="1:13" x14ac:dyDescent="0.25">
      <c r="A151" s="40">
        <f t="shared" si="64"/>
        <v>387</v>
      </c>
      <c r="B151" s="37" t="e">
        <f t="shared" si="52"/>
        <v>#N/A</v>
      </c>
      <c r="C151" s="1" t="e">
        <f t="shared" si="53"/>
        <v>#N/A</v>
      </c>
      <c r="D151" s="1" t="e">
        <f t="shared" si="54"/>
        <v>#N/A</v>
      </c>
      <c r="E151" s="1" t="e">
        <f t="shared" si="55"/>
        <v>#N/A</v>
      </c>
      <c r="F151" s="1" t="e">
        <f t="shared" si="56"/>
        <v>#N/A</v>
      </c>
      <c r="G151" s="38" t="e">
        <f t="shared" si="57"/>
        <v>#N/A</v>
      </c>
      <c r="H151" s="37">
        <f t="shared" si="58"/>
        <v>104999.99999999999</v>
      </c>
      <c r="I151" s="1">
        <f t="shared" si="59"/>
        <v>9043.9276485788123</v>
      </c>
      <c r="J151" s="1">
        <f t="shared" si="60"/>
        <v>12500</v>
      </c>
      <c r="K151" s="1">
        <f t="shared" si="61"/>
        <v>124622.72269783958</v>
      </c>
      <c r="L151" s="1">
        <f t="shared" si="62"/>
        <v>50.012345957853704</v>
      </c>
      <c r="M151" s="38">
        <f t="shared" si="63"/>
        <v>27.485417479401658</v>
      </c>
    </row>
  </sheetData>
  <mergeCells count="2">
    <mergeCell ref="H2:M2"/>
    <mergeCell ref="E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0"/>
  <sheetViews>
    <sheetView topLeftCell="A126" workbookViewId="0">
      <selection activeCell="G158" sqref="G158:G160"/>
    </sheetView>
  </sheetViews>
  <sheetFormatPr defaultRowHeight="15" x14ac:dyDescent="0.25"/>
  <sheetData>
    <row r="1" spans="1:13" ht="15.75" thickBot="1" x14ac:dyDescent="0.3">
      <c r="A1" s="33" t="s">
        <v>44</v>
      </c>
      <c r="B1" s="33" t="s">
        <v>68</v>
      </c>
      <c r="C1" s="1"/>
      <c r="D1" s="1"/>
      <c r="E1" s="1"/>
      <c r="F1" s="45"/>
      <c r="G1" s="47"/>
      <c r="H1" s="1"/>
      <c r="I1" s="1"/>
      <c r="J1" s="1"/>
      <c r="K1" s="1"/>
      <c r="L1" s="1"/>
      <c r="M1" s="38"/>
    </row>
    <row r="2" spans="1:13" x14ac:dyDescent="0.25">
      <c r="A2" s="15" t="b">
        <v>1</v>
      </c>
      <c r="B2" s="15" t="b">
        <v>1</v>
      </c>
      <c r="C2" s="151"/>
      <c r="D2" s="151"/>
      <c r="E2" s="538" t="s">
        <v>53</v>
      </c>
      <c r="F2" s="538"/>
      <c r="G2" s="539"/>
      <c r="H2" s="536"/>
      <c r="I2" s="536"/>
      <c r="J2" s="536"/>
      <c r="K2" s="536"/>
      <c r="L2" s="536"/>
      <c r="M2" s="537"/>
    </row>
    <row r="3" spans="1:13" x14ac:dyDescent="0.25">
      <c r="A3" s="41" t="s">
        <v>79</v>
      </c>
      <c r="B3" s="42" t="s">
        <v>38</v>
      </c>
      <c r="C3" s="42" t="s">
        <v>48</v>
      </c>
      <c r="D3" s="42" t="s">
        <v>49</v>
      </c>
      <c r="E3" s="42" t="s">
        <v>40</v>
      </c>
      <c r="F3" s="44" t="s">
        <v>44</v>
      </c>
      <c r="G3" s="46" t="s">
        <v>47</v>
      </c>
      <c r="H3" s="42" t="s">
        <v>38</v>
      </c>
      <c r="I3" s="42" t="s">
        <v>48</v>
      </c>
      <c r="J3" s="42" t="s">
        <v>49</v>
      </c>
      <c r="K3" s="42" t="s">
        <v>40</v>
      </c>
      <c r="L3" s="42" t="s">
        <v>44</v>
      </c>
      <c r="M3" s="43" t="s">
        <v>47</v>
      </c>
    </row>
    <row r="4" spans="1:13" x14ac:dyDescent="0.25">
      <c r="A4" s="40">
        <f>W_STRC</f>
        <v>125</v>
      </c>
      <c r="B4" s="1" t="e">
        <f t="shared" ref="B4:B35" si="0">IF(Load_Case=1,(6*FL_SUS*H_STRC)/((0.001*L_STRC)^2+(6*A4*L_STRC*0.000001)),NA())</f>
        <v>#N/A</v>
      </c>
      <c r="C4" s="1" t="e">
        <f t="shared" ref="C4:C35" si="1">IF(Load_Case=1,(3*FC_SUS*H_STRC)/((A4*0.001)^2),NA())</f>
        <v>#N/A</v>
      </c>
      <c r="D4" s="1" t="e">
        <f t="shared" ref="D4:D35" si="2">IF(Load_Case=1,FA_SUS*1000/((L_STRC+2*A4)*0.001),NA())</f>
        <v>#N/A</v>
      </c>
      <c r="E4" s="1" t="e">
        <f t="shared" ref="E4:E35" si="3">1.5*D4+SQRT((B4^2+(1.5*C4)^2))</f>
        <v>#N/A</v>
      </c>
      <c r="F4" s="45" t="e">
        <f t="shared" ref="F4:F35" si="4">IF(SL_STRC,(1.17*E4*SQRT(0.5*D*0.001))*0.000001/((tnet_STRC*0.001)^1.5),NA())</f>
        <v>#N/A</v>
      </c>
      <c r="G4" s="47" t="e">
        <f t="shared" ref="G4:G35" si="5">IF(SC_STRC,(0.643*E4*SQRT((D*0.5)*0.001))*0.000001/((tnet_STRC*0.001)^1.5),NA())</f>
        <v>#N/A</v>
      </c>
      <c r="H4" s="1">
        <f t="shared" ref="H4:H35" si="6">IF(Load_Case=2,(6*FL_EXP*H_STRC)/((0.001*L_STRC)^2+(6*A4*L_STRC*0.000001)),NA())</f>
        <v>33600</v>
      </c>
      <c r="I4" s="1">
        <f t="shared" ref="I4:I35" si="7">IF(Load_Case=2,(3*FC_EXP*H_STRC)/((A4*0.001)^2),NA())</f>
        <v>134400</v>
      </c>
      <c r="J4" s="1">
        <f t="shared" ref="J4:J35" si="8">IF(Load_Case=2,FA_EXP*1000/((L_STRC+2*A4)*0.001),NA())</f>
        <v>10000</v>
      </c>
      <c r="K4" s="1">
        <f t="shared" ref="K4:K35" si="9">1.5*J4+SQRT((H4^2+(1.5*I4)^2))</f>
        <v>219380.82101802019</v>
      </c>
      <c r="L4" s="45">
        <f t="shared" ref="L4:L35" si="10">IF(SL_STRC,(1.17*K4*SQRT(0.5*D*0.001))*0.000001/((tnet_STRC*0.001)^1.5),NA())</f>
        <v>98.611042113329887</v>
      </c>
      <c r="M4" s="47">
        <f t="shared" ref="M4:M35" si="11">IF(SC_STRC,(0.643*K4*SQRT((D*0.5)*0.001))*0.000001/((tnet_STRC*0.001)^1.5),NA())</f>
        <v>54.193931691342854</v>
      </c>
    </row>
    <row r="5" spans="1:13" x14ac:dyDescent="0.25">
      <c r="A5" s="40">
        <f t="shared" ref="A5:A36" si="12">IF((A4+W_STRC_Increment)&gt;Max_STRC_W,NA(),A4+W_STRC_Increment)</f>
        <v>130</v>
      </c>
      <c r="B5" s="1" t="e">
        <f t="shared" si="0"/>
        <v>#N/A</v>
      </c>
      <c r="C5" s="1" t="e">
        <f t="shared" si="1"/>
        <v>#N/A</v>
      </c>
      <c r="D5" s="1" t="e">
        <f t="shared" si="2"/>
        <v>#N/A</v>
      </c>
      <c r="E5" s="1" t="e">
        <f t="shared" si="3"/>
        <v>#N/A</v>
      </c>
      <c r="F5" s="45" t="e">
        <f t="shared" si="4"/>
        <v>#N/A</v>
      </c>
      <c r="G5" s="47" t="e">
        <f t="shared" si="5"/>
        <v>#N/A</v>
      </c>
      <c r="H5" s="1">
        <f t="shared" si="6"/>
        <v>32621.359223300977</v>
      </c>
      <c r="I5" s="1">
        <f t="shared" si="7"/>
        <v>124260.35502958579</v>
      </c>
      <c r="J5" s="1">
        <f t="shared" si="8"/>
        <v>9803.9215686274511</v>
      </c>
      <c r="K5" s="1">
        <f t="shared" si="9"/>
        <v>203929.51644697483</v>
      </c>
      <c r="L5" s="45">
        <f t="shared" si="10"/>
        <v>91.665725568835413</v>
      </c>
      <c r="M5" s="47">
        <f t="shared" si="11"/>
        <v>50.376975675864252</v>
      </c>
    </row>
    <row r="6" spans="1:13" x14ac:dyDescent="0.25">
      <c r="A6" s="40">
        <f t="shared" si="12"/>
        <v>135</v>
      </c>
      <c r="B6" s="1" t="e">
        <f t="shared" si="0"/>
        <v>#N/A</v>
      </c>
      <c r="C6" s="1" t="e">
        <f t="shared" si="1"/>
        <v>#N/A</v>
      </c>
      <c r="D6" s="1" t="e">
        <f t="shared" si="2"/>
        <v>#N/A</v>
      </c>
      <c r="E6" s="1" t="e">
        <f t="shared" si="3"/>
        <v>#N/A</v>
      </c>
      <c r="F6" s="45" t="e">
        <f t="shared" si="4"/>
        <v>#N/A</v>
      </c>
      <c r="G6" s="47" t="e">
        <f t="shared" si="5"/>
        <v>#N/A</v>
      </c>
      <c r="H6" s="1">
        <f t="shared" si="6"/>
        <v>31698.113207547169</v>
      </c>
      <c r="I6" s="1">
        <f t="shared" si="7"/>
        <v>115226.33744855966</v>
      </c>
      <c r="J6" s="1">
        <f t="shared" si="8"/>
        <v>9615.3846153846152</v>
      </c>
      <c r="K6" s="1">
        <f t="shared" si="9"/>
        <v>190145.20209514938</v>
      </c>
      <c r="L6" s="45">
        <f t="shared" si="10"/>
        <v>85.469716288062486</v>
      </c>
      <c r="M6" s="47">
        <f t="shared" si="11"/>
        <v>46.971818438653138</v>
      </c>
    </row>
    <row r="7" spans="1:13" x14ac:dyDescent="0.25">
      <c r="A7" s="40">
        <f t="shared" si="12"/>
        <v>140</v>
      </c>
      <c r="B7" s="1" t="e">
        <f t="shared" si="0"/>
        <v>#N/A</v>
      </c>
      <c r="C7" s="1" t="e">
        <f t="shared" si="1"/>
        <v>#N/A</v>
      </c>
      <c r="D7" s="1" t="e">
        <f t="shared" si="2"/>
        <v>#N/A</v>
      </c>
      <c r="E7" s="1" t="e">
        <f t="shared" si="3"/>
        <v>#N/A</v>
      </c>
      <c r="F7" s="45" t="e">
        <f t="shared" si="4"/>
        <v>#N/A</v>
      </c>
      <c r="G7" s="47" t="e">
        <f t="shared" si="5"/>
        <v>#N/A</v>
      </c>
      <c r="H7" s="1">
        <f t="shared" si="6"/>
        <v>30825.6880733945</v>
      </c>
      <c r="I7" s="1">
        <f t="shared" si="7"/>
        <v>107142.85714285713</v>
      </c>
      <c r="J7" s="1">
        <f t="shared" si="8"/>
        <v>9433.9622641509432</v>
      </c>
      <c r="K7" s="1">
        <f t="shared" si="9"/>
        <v>177794.7782261743</v>
      </c>
      <c r="L7" s="45">
        <f t="shared" si="10"/>
        <v>79.918236616277781</v>
      </c>
      <c r="M7" s="47">
        <f t="shared" si="11"/>
        <v>43.920877046381726</v>
      </c>
    </row>
    <row r="8" spans="1:13" x14ac:dyDescent="0.25">
      <c r="A8" s="40">
        <f t="shared" si="12"/>
        <v>145</v>
      </c>
      <c r="B8" s="1" t="e">
        <f t="shared" si="0"/>
        <v>#N/A</v>
      </c>
      <c r="C8" s="1" t="e">
        <f t="shared" si="1"/>
        <v>#N/A</v>
      </c>
      <c r="D8" s="1" t="e">
        <f t="shared" si="2"/>
        <v>#N/A</v>
      </c>
      <c r="E8" s="1" t="e">
        <f t="shared" si="3"/>
        <v>#N/A</v>
      </c>
      <c r="F8" s="45" t="e">
        <f t="shared" si="4"/>
        <v>#N/A</v>
      </c>
      <c r="G8" s="47" t="e">
        <f t="shared" si="5"/>
        <v>#N/A</v>
      </c>
      <c r="H8" s="1">
        <f t="shared" si="6"/>
        <v>29999.999999999996</v>
      </c>
      <c r="I8" s="1">
        <f t="shared" si="7"/>
        <v>99881.093935790734</v>
      </c>
      <c r="J8" s="1">
        <f t="shared" si="8"/>
        <v>9259.2592592592591</v>
      </c>
      <c r="K8" s="1">
        <f t="shared" si="9"/>
        <v>166684.58281732741</v>
      </c>
      <c r="L8" s="45">
        <f t="shared" si="10"/>
        <v>74.924236036531866</v>
      </c>
      <c r="M8" s="47">
        <f t="shared" si="11"/>
        <v>41.17631091580342</v>
      </c>
    </row>
    <row r="9" spans="1:13" x14ac:dyDescent="0.25">
      <c r="A9" s="40">
        <f t="shared" si="12"/>
        <v>150</v>
      </c>
      <c r="B9" s="1" t="e">
        <f t="shared" si="0"/>
        <v>#N/A</v>
      </c>
      <c r="C9" s="1" t="e">
        <f t="shared" si="1"/>
        <v>#N/A</v>
      </c>
      <c r="D9" s="1" t="e">
        <f t="shared" si="2"/>
        <v>#N/A</v>
      </c>
      <c r="E9" s="1" t="e">
        <f t="shared" si="3"/>
        <v>#N/A</v>
      </c>
      <c r="F9" s="45" t="e">
        <f t="shared" si="4"/>
        <v>#N/A</v>
      </c>
      <c r="G9" s="47" t="e">
        <f t="shared" si="5"/>
        <v>#N/A</v>
      </c>
      <c r="H9" s="1">
        <f t="shared" si="6"/>
        <v>29217.391304347828</v>
      </c>
      <c r="I9" s="1">
        <f t="shared" si="7"/>
        <v>93333.333333333343</v>
      </c>
      <c r="J9" s="1">
        <f t="shared" si="8"/>
        <v>9090.9090909090901</v>
      </c>
      <c r="K9" s="1">
        <f t="shared" si="9"/>
        <v>156652.64227145951</v>
      </c>
      <c r="L9" s="45">
        <f t="shared" si="10"/>
        <v>70.414907887168525</v>
      </c>
      <c r="M9" s="47">
        <f t="shared" si="11"/>
        <v>38.698107496965271</v>
      </c>
    </row>
    <row r="10" spans="1:13" x14ac:dyDescent="0.25">
      <c r="A10" s="40">
        <f t="shared" si="12"/>
        <v>155</v>
      </c>
      <c r="B10" s="1" t="e">
        <f t="shared" si="0"/>
        <v>#N/A</v>
      </c>
      <c r="C10" s="1" t="e">
        <f t="shared" si="1"/>
        <v>#N/A</v>
      </c>
      <c r="D10" s="1" t="e">
        <f t="shared" si="2"/>
        <v>#N/A</v>
      </c>
      <c r="E10" s="1" t="e">
        <f t="shared" si="3"/>
        <v>#N/A</v>
      </c>
      <c r="F10" s="45" t="e">
        <f t="shared" si="4"/>
        <v>#N/A</v>
      </c>
      <c r="G10" s="47" t="e">
        <f t="shared" si="5"/>
        <v>#N/A</v>
      </c>
      <c r="H10" s="1">
        <f t="shared" si="6"/>
        <v>28474.576271186441</v>
      </c>
      <c r="I10" s="1">
        <f t="shared" si="7"/>
        <v>87408.949011446399</v>
      </c>
      <c r="J10" s="1">
        <f t="shared" si="8"/>
        <v>8928.5714285714275</v>
      </c>
      <c r="K10" s="1">
        <f t="shared" si="9"/>
        <v>147562.64256497181</v>
      </c>
      <c r="L10" s="45">
        <f t="shared" si="10"/>
        <v>66.328979410344274</v>
      </c>
      <c r="M10" s="47">
        <f t="shared" si="11"/>
        <v>36.452592957992628</v>
      </c>
    </row>
    <row r="11" spans="1:13" x14ac:dyDescent="0.25">
      <c r="A11" s="40">
        <f t="shared" si="12"/>
        <v>160</v>
      </c>
      <c r="B11" s="1" t="e">
        <f t="shared" si="0"/>
        <v>#N/A</v>
      </c>
      <c r="C11" s="1" t="e">
        <f t="shared" si="1"/>
        <v>#N/A</v>
      </c>
      <c r="D11" s="1" t="e">
        <f t="shared" si="2"/>
        <v>#N/A</v>
      </c>
      <c r="E11" s="1" t="e">
        <f t="shared" si="3"/>
        <v>#N/A</v>
      </c>
      <c r="F11" s="45" t="e">
        <f t="shared" si="4"/>
        <v>#N/A</v>
      </c>
      <c r="G11" s="47" t="e">
        <f t="shared" si="5"/>
        <v>#N/A</v>
      </c>
      <c r="H11" s="1">
        <f t="shared" si="6"/>
        <v>27768.595041322315</v>
      </c>
      <c r="I11" s="1">
        <f t="shared" si="7"/>
        <v>82031.25</v>
      </c>
      <c r="J11" s="1">
        <f t="shared" si="8"/>
        <v>8771.9298245614027</v>
      </c>
      <c r="K11" s="1">
        <f t="shared" si="9"/>
        <v>139299.19771819937</v>
      </c>
      <c r="L11" s="45">
        <f t="shared" si="10"/>
        <v>62.614584943202935</v>
      </c>
      <c r="M11" s="47">
        <f t="shared" si="11"/>
        <v>34.411263349127772</v>
      </c>
    </row>
    <row r="12" spans="1:13" x14ac:dyDescent="0.25">
      <c r="A12" s="40">
        <f t="shared" si="12"/>
        <v>165</v>
      </c>
      <c r="B12" s="1" t="e">
        <f t="shared" si="0"/>
        <v>#N/A</v>
      </c>
      <c r="C12" s="1" t="e">
        <f t="shared" si="1"/>
        <v>#N/A</v>
      </c>
      <c r="D12" s="1" t="e">
        <f t="shared" si="2"/>
        <v>#N/A</v>
      </c>
      <c r="E12" s="1" t="e">
        <f t="shared" si="3"/>
        <v>#N/A</v>
      </c>
      <c r="F12" s="45" t="e">
        <f t="shared" si="4"/>
        <v>#N/A</v>
      </c>
      <c r="G12" s="47" t="e">
        <f t="shared" si="5"/>
        <v>#N/A</v>
      </c>
      <c r="H12" s="1">
        <f t="shared" si="6"/>
        <v>27096.774193548386</v>
      </c>
      <c r="I12" s="1">
        <f t="shared" si="7"/>
        <v>77134.986225895307</v>
      </c>
      <c r="J12" s="1">
        <f t="shared" si="8"/>
        <v>8620.6896551724149</v>
      </c>
      <c r="K12" s="1">
        <f t="shared" si="9"/>
        <v>131764.10604472546</v>
      </c>
      <c r="L12" s="45">
        <f t="shared" si="10"/>
        <v>59.227583112811828</v>
      </c>
      <c r="M12" s="47">
        <f t="shared" si="11"/>
        <v>32.549859779092323</v>
      </c>
    </row>
    <row r="13" spans="1:13" x14ac:dyDescent="0.25">
      <c r="A13" s="40">
        <f t="shared" si="12"/>
        <v>170</v>
      </c>
      <c r="B13" s="1" t="e">
        <f t="shared" si="0"/>
        <v>#N/A</v>
      </c>
      <c r="C13" s="1" t="e">
        <f t="shared" si="1"/>
        <v>#N/A</v>
      </c>
      <c r="D13" s="1" t="e">
        <f t="shared" si="2"/>
        <v>#N/A</v>
      </c>
      <c r="E13" s="1" t="e">
        <f t="shared" si="3"/>
        <v>#N/A</v>
      </c>
      <c r="F13" s="45" t="e">
        <f t="shared" si="4"/>
        <v>#N/A</v>
      </c>
      <c r="G13" s="47" t="e">
        <f t="shared" si="5"/>
        <v>#N/A</v>
      </c>
      <c r="H13" s="1">
        <f t="shared" si="6"/>
        <v>26456.692913385825</v>
      </c>
      <c r="I13" s="1">
        <f t="shared" si="7"/>
        <v>72664.359861591685</v>
      </c>
      <c r="J13" s="1">
        <f t="shared" si="8"/>
        <v>8474.5762711864409</v>
      </c>
      <c r="K13" s="1">
        <f t="shared" si="9"/>
        <v>124873.36531786197</v>
      </c>
      <c r="L13" s="45">
        <f t="shared" si="10"/>
        <v>56.130215162160589</v>
      </c>
      <c r="M13" s="47">
        <f t="shared" si="11"/>
        <v>30.847631067751504</v>
      </c>
    </row>
    <row r="14" spans="1:13" x14ac:dyDescent="0.25">
      <c r="A14" s="40">
        <f t="shared" si="12"/>
        <v>175</v>
      </c>
      <c r="B14" s="1" t="e">
        <f t="shared" si="0"/>
        <v>#N/A</v>
      </c>
      <c r="C14" s="1" t="e">
        <f t="shared" si="1"/>
        <v>#N/A</v>
      </c>
      <c r="D14" s="1" t="e">
        <f t="shared" si="2"/>
        <v>#N/A</v>
      </c>
      <c r="E14" s="1" t="e">
        <f t="shared" si="3"/>
        <v>#N/A</v>
      </c>
      <c r="F14" s="45" t="e">
        <f t="shared" si="4"/>
        <v>#N/A</v>
      </c>
      <c r="G14" s="47" t="e">
        <f t="shared" si="5"/>
        <v>#N/A</v>
      </c>
      <c r="H14" s="1">
        <f t="shared" si="6"/>
        <v>25846.153846153844</v>
      </c>
      <c r="I14" s="1">
        <f t="shared" si="7"/>
        <v>68571.428571428551</v>
      </c>
      <c r="J14" s="1">
        <f t="shared" si="8"/>
        <v>8333.3333333333339</v>
      </c>
      <c r="K14" s="1">
        <f t="shared" si="9"/>
        <v>118554.77596682642</v>
      </c>
      <c r="L14" s="45">
        <f t="shared" si="10"/>
        <v>53.290027593801433</v>
      </c>
      <c r="M14" s="47">
        <f t="shared" si="11"/>
        <v>29.286741660525067</v>
      </c>
    </row>
    <row r="15" spans="1:13" x14ac:dyDescent="0.25">
      <c r="A15" s="40">
        <f t="shared" si="12"/>
        <v>180</v>
      </c>
      <c r="B15" s="1" t="e">
        <f t="shared" si="0"/>
        <v>#N/A</v>
      </c>
      <c r="C15" s="1" t="e">
        <f t="shared" si="1"/>
        <v>#N/A</v>
      </c>
      <c r="D15" s="1" t="e">
        <f t="shared" si="2"/>
        <v>#N/A</v>
      </c>
      <c r="E15" s="1" t="e">
        <f t="shared" si="3"/>
        <v>#N/A</v>
      </c>
      <c r="F15" s="45" t="e">
        <f t="shared" si="4"/>
        <v>#N/A</v>
      </c>
      <c r="G15" s="47" t="e">
        <f t="shared" si="5"/>
        <v>#N/A</v>
      </c>
      <c r="H15" s="1">
        <f t="shared" si="6"/>
        <v>25263.157894736843</v>
      </c>
      <c r="I15" s="1">
        <f t="shared" si="7"/>
        <v>64814.814814814818</v>
      </c>
      <c r="J15" s="1">
        <f t="shared" si="8"/>
        <v>8196.7213114754104</v>
      </c>
      <c r="K15" s="1">
        <f t="shared" si="9"/>
        <v>112746.00351919075</v>
      </c>
      <c r="L15" s="45">
        <f t="shared" si="10"/>
        <v>50.67900124335533</v>
      </c>
      <c r="M15" s="47">
        <f t="shared" si="11"/>
        <v>27.851792991006395</v>
      </c>
    </row>
    <row r="16" spans="1:13" x14ac:dyDescent="0.25">
      <c r="A16" s="40">
        <f t="shared" si="12"/>
        <v>185</v>
      </c>
      <c r="B16" s="1" t="e">
        <f t="shared" si="0"/>
        <v>#N/A</v>
      </c>
      <c r="C16" s="1" t="e">
        <f t="shared" si="1"/>
        <v>#N/A</v>
      </c>
      <c r="D16" s="1" t="e">
        <f t="shared" si="2"/>
        <v>#N/A</v>
      </c>
      <c r="E16" s="1" t="e">
        <f t="shared" si="3"/>
        <v>#N/A</v>
      </c>
      <c r="F16" s="45" t="e">
        <f t="shared" si="4"/>
        <v>#N/A</v>
      </c>
      <c r="G16" s="47" t="e">
        <f t="shared" si="5"/>
        <v>#N/A</v>
      </c>
      <c r="H16" s="1">
        <f t="shared" si="6"/>
        <v>24705.882352941178</v>
      </c>
      <c r="I16" s="1">
        <f t="shared" si="7"/>
        <v>61358.655953250549</v>
      </c>
      <c r="J16" s="1">
        <f t="shared" si="8"/>
        <v>8064.5161290322585</v>
      </c>
      <c r="K16" s="1">
        <f t="shared" si="9"/>
        <v>107393.0023912764</v>
      </c>
      <c r="L16" s="45">
        <f t="shared" si="10"/>
        <v>48.272842777870771</v>
      </c>
      <c r="M16" s="47">
        <f t="shared" si="11"/>
        <v>26.52943410783838</v>
      </c>
    </row>
    <row r="17" spans="1:13" x14ac:dyDescent="0.25">
      <c r="A17" s="40">
        <f t="shared" si="12"/>
        <v>190</v>
      </c>
      <c r="B17" s="1" t="e">
        <f t="shared" si="0"/>
        <v>#N/A</v>
      </c>
      <c r="C17" s="1" t="e">
        <f t="shared" si="1"/>
        <v>#N/A</v>
      </c>
      <c r="D17" s="1" t="e">
        <f t="shared" si="2"/>
        <v>#N/A</v>
      </c>
      <c r="E17" s="1" t="e">
        <f t="shared" si="3"/>
        <v>#N/A</v>
      </c>
      <c r="F17" s="45" t="e">
        <f t="shared" si="4"/>
        <v>#N/A</v>
      </c>
      <c r="G17" s="47" t="e">
        <f t="shared" si="5"/>
        <v>#N/A</v>
      </c>
      <c r="H17" s="1">
        <f t="shared" si="6"/>
        <v>24172.661870503598</v>
      </c>
      <c r="I17" s="1">
        <f t="shared" si="7"/>
        <v>58171.745152354568</v>
      </c>
      <c r="J17" s="1">
        <f t="shared" si="8"/>
        <v>7936.5079365079364</v>
      </c>
      <c r="K17" s="1">
        <f t="shared" si="9"/>
        <v>102448.72599715349</v>
      </c>
      <c r="L17" s="45">
        <f t="shared" si="10"/>
        <v>46.050404893563886</v>
      </c>
      <c r="M17" s="47">
        <f t="shared" si="11"/>
        <v>25.308043031249213</v>
      </c>
    </row>
    <row r="18" spans="1:13" x14ac:dyDescent="0.25">
      <c r="A18" s="40">
        <f t="shared" si="12"/>
        <v>195</v>
      </c>
      <c r="B18" s="1" t="e">
        <f t="shared" si="0"/>
        <v>#N/A</v>
      </c>
      <c r="C18" s="1" t="e">
        <f t="shared" si="1"/>
        <v>#N/A</v>
      </c>
      <c r="D18" s="1" t="e">
        <f t="shared" si="2"/>
        <v>#N/A</v>
      </c>
      <c r="E18" s="1" t="e">
        <f t="shared" si="3"/>
        <v>#N/A</v>
      </c>
      <c r="F18" s="45" t="e">
        <f t="shared" si="4"/>
        <v>#N/A</v>
      </c>
      <c r="G18" s="47" t="e">
        <f t="shared" si="5"/>
        <v>#N/A</v>
      </c>
      <c r="H18" s="1">
        <f t="shared" si="6"/>
        <v>23661.971830985916</v>
      </c>
      <c r="I18" s="1">
        <f t="shared" si="7"/>
        <v>55226.824457593684</v>
      </c>
      <c r="J18" s="1">
        <f t="shared" si="8"/>
        <v>7812.5</v>
      </c>
      <c r="K18" s="1">
        <f t="shared" si="9"/>
        <v>97872.065230393637</v>
      </c>
      <c r="L18" s="45">
        <f t="shared" si="10"/>
        <v>43.993209166448288</v>
      </c>
      <c r="M18" s="47">
        <f t="shared" si="11"/>
        <v>24.177464524808766</v>
      </c>
    </row>
    <row r="19" spans="1:13" x14ac:dyDescent="0.25">
      <c r="A19" s="40">
        <f t="shared" si="12"/>
        <v>200</v>
      </c>
      <c r="B19" s="1" t="e">
        <f t="shared" si="0"/>
        <v>#N/A</v>
      </c>
      <c r="C19" s="1" t="e">
        <f t="shared" si="1"/>
        <v>#N/A</v>
      </c>
      <c r="D19" s="1" t="e">
        <f t="shared" si="2"/>
        <v>#N/A</v>
      </c>
      <c r="E19" s="1" t="e">
        <f t="shared" si="3"/>
        <v>#N/A</v>
      </c>
      <c r="F19" s="45" t="e">
        <f t="shared" si="4"/>
        <v>#N/A</v>
      </c>
      <c r="G19" s="47" t="e">
        <f t="shared" si="5"/>
        <v>#N/A</v>
      </c>
      <c r="H19" s="1">
        <f t="shared" si="6"/>
        <v>23172.413793103449</v>
      </c>
      <c r="I19" s="1">
        <f t="shared" si="7"/>
        <v>52499.999999999993</v>
      </c>
      <c r="J19" s="1">
        <f t="shared" si="8"/>
        <v>7692.3076923076924</v>
      </c>
      <c r="K19" s="1">
        <f t="shared" si="9"/>
        <v>93626.970240951749</v>
      </c>
      <c r="L19" s="45">
        <f t="shared" si="10"/>
        <v>42.085051293593239</v>
      </c>
      <c r="M19" s="47">
        <f t="shared" si="11"/>
        <v>23.1287931468209</v>
      </c>
    </row>
    <row r="20" spans="1:13" x14ac:dyDescent="0.25">
      <c r="A20" s="40">
        <f t="shared" si="12"/>
        <v>205</v>
      </c>
      <c r="B20" s="1" t="e">
        <f t="shared" si="0"/>
        <v>#N/A</v>
      </c>
      <c r="C20" s="1" t="e">
        <f t="shared" si="1"/>
        <v>#N/A</v>
      </c>
      <c r="D20" s="1" t="e">
        <f t="shared" si="2"/>
        <v>#N/A</v>
      </c>
      <c r="E20" s="1" t="e">
        <f t="shared" si="3"/>
        <v>#N/A</v>
      </c>
      <c r="F20" s="45" t="e">
        <f t="shared" si="4"/>
        <v>#N/A</v>
      </c>
      <c r="G20" s="47" t="e">
        <f t="shared" si="5"/>
        <v>#N/A</v>
      </c>
      <c r="H20" s="1">
        <f t="shared" si="6"/>
        <v>22702.702702702703</v>
      </c>
      <c r="I20" s="1">
        <f t="shared" si="7"/>
        <v>49970.255800118968</v>
      </c>
      <c r="J20" s="1">
        <f t="shared" si="8"/>
        <v>7575.7575757575751</v>
      </c>
      <c r="K20" s="1">
        <f t="shared" si="9"/>
        <v>89681.720199033429</v>
      </c>
      <c r="L20" s="45">
        <f t="shared" si="10"/>
        <v>40.311672854102092</v>
      </c>
      <c r="M20" s="47">
        <f t="shared" si="11"/>
        <v>22.154192859134742</v>
      </c>
    </row>
    <row r="21" spans="1:13" x14ac:dyDescent="0.25">
      <c r="A21" s="40">
        <f t="shared" si="12"/>
        <v>210</v>
      </c>
      <c r="B21" s="1" t="e">
        <f t="shared" si="0"/>
        <v>#N/A</v>
      </c>
      <c r="C21" s="1" t="e">
        <f t="shared" si="1"/>
        <v>#N/A</v>
      </c>
      <c r="D21" s="1" t="e">
        <f t="shared" si="2"/>
        <v>#N/A</v>
      </c>
      <c r="E21" s="1" t="e">
        <f t="shared" si="3"/>
        <v>#N/A</v>
      </c>
      <c r="F21" s="45" t="e">
        <f t="shared" si="4"/>
        <v>#N/A</v>
      </c>
      <c r="G21" s="47" t="e">
        <f t="shared" si="5"/>
        <v>#N/A</v>
      </c>
      <c r="H21" s="1">
        <f t="shared" si="6"/>
        <v>22251.655629139073</v>
      </c>
      <c r="I21" s="1">
        <f t="shared" si="7"/>
        <v>47619.047619047626</v>
      </c>
      <c r="J21" s="1">
        <f t="shared" si="8"/>
        <v>7462.686567164179</v>
      </c>
      <c r="K21" s="1">
        <f t="shared" si="9"/>
        <v>86008.313210037551</v>
      </c>
      <c r="L21" s="45">
        <f t="shared" si="10"/>
        <v>38.660487077650295</v>
      </c>
      <c r="M21" s="47">
        <f t="shared" si="11"/>
        <v>21.246746317033452</v>
      </c>
    </row>
    <row r="22" spans="1:13" x14ac:dyDescent="0.25">
      <c r="A22" s="40">
        <f t="shared" si="12"/>
        <v>215</v>
      </c>
      <c r="B22" s="1" t="e">
        <f t="shared" si="0"/>
        <v>#N/A</v>
      </c>
      <c r="C22" s="1" t="e">
        <f t="shared" si="1"/>
        <v>#N/A</v>
      </c>
      <c r="D22" s="1" t="e">
        <f t="shared" si="2"/>
        <v>#N/A</v>
      </c>
      <c r="E22" s="1" t="e">
        <f t="shared" si="3"/>
        <v>#N/A</v>
      </c>
      <c r="F22" s="45" t="e">
        <f t="shared" si="4"/>
        <v>#N/A</v>
      </c>
      <c r="G22" s="47" t="e">
        <f t="shared" si="5"/>
        <v>#N/A</v>
      </c>
      <c r="H22" s="1">
        <f t="shared" si="6"/>
        <v>21818.181818181816</v>
      </c>
      <c r="I22" s="1">
        <f t="shared" si="7"/>
        <v>45429.962141698219</v>
      </c>
      <c r="J22" s="1">
        <f t="shared" si="8"/>
        <v>7352.9411764705874</v>
      </c>
      <c r="K22" s="1">
        <f t="shared" si="9"/>
        <v>82581.954300191923</v>
      </c>
      <c r="L22" s="45">
        <f t="shared" si="10"/>
        <v>37.120348695515162</v>
      </c>
      <c r="M22" s="47">
        <f t="shared" si="11"/>
        <v>20.400328385654912</v>
      </c>
    </row>
    <row r="23" spans="1:13" x14ac:dyDescent="0.25">
      <c r="A23" s="40">
        <f t="shared" si="12"/>
        <v>220</v>
      </c>
      <c r="B23" s="1" t="e">
        <f t="shared" si="0"/>
        <v>#N/A</v>
      </c>
      <c r="C23" s="1" t="e">
        <f t="shared" si="1"/>
        <v>#N/A</v>
      </c>
      <c r="D23" s="1" t="e">
        <f t="shared" si="2"/>
        <v>#N/A</v>
      </c>
      <c r="E23" s="1" t="e">
        <f t="shared" si="3"/>
        <v>#N/A</v>
      </c>
      <c r="F23" s="45" t="e">
        <f t="shared" si="4"/>
        <v>#N/A</v>
      </c>
      <c r="G23" s="47" t="e">
        <f t="shared" si="5"/>
        <v>#N/A</v>
      </c>
      <c r="H23" s="1">
        <f t="shared" si="6"/>
        <v>21401.273885350322</v>
      </c>
      <c r="I23" s="1">
        <f t="shared" si="7"/>
        <v>43388.42975206612</v>
      </c>
      <c r="J23" s="1">
        <f t="shared" si="8"/>
        <v>7246.3768115942021</v>
      </c>
      <c r="K23" s="1">
        <f t="shared" si="9"/>
        <v>79380.623855418671</v>
      </c>
      <c r="L23" s="45">
        <f t="shared" si="10"/>
        <v>35.681359955098834</v>
      </c>
      <c r="M23" s="47">
        <f t="shared" si="11"/>
        <v>19.609499530879106</v>
      </c>
    </row>
    <row r="24" spans="1:13" x14ac:dyDescent="0.25">
      <c r="A24" s="40">
        <f t="shared" si="12"/>
        <v>225</v>
      </c>
      <c r="B24" s="1" t="e">
        <f t="shared" si="0"/>
        <v>#N/A</v>
      </c>
      <c r="C24" s="1" t="e">
        <f t="shared" si="1"/>
        <v>#N/A</v>
      </c>
      <c r="D24" s="1" t="e">
        <f t="shared" si="2"/>
        <v>#N/A</v>
      </c>
      <c r="E24" s="1" t="e">
        <f t="shared" si="3"/>
        <v>#N/A</v>
      </c>
      <c r="F24" s="45" t="e">
        <f t="shared" si="4"/>
        <v>#N/A</v>
      </c>
      <c r="G24" s="47" t="e">
        <f t="shared" si="5"/>
        <v>#N/A</v>
      </c>
      <c r="H24" s="1">
        <f t="shared" si="6"/>
        <v>21000</v>
      </c>
      <c r="I24" s="1">
        <f t="shared" si="7"/>
        <v>41481.481481481482</v>
      </c>
      <c r="J24" s="1">
        <f t="shared" si="8"/>
        <v>7142.8571428571422</v>
      </c>
      <c r="K24" s="1">
        <f t="shared" si="9"/>
        <v>76384.712378588752</v>
      </c>
      <c r="L24" s="45">
        <f t="shared" si="10"/>
        <v>34.334706444374589</v>
      </c>
      <c r="M24" s="47">
        <f t="shared" si="11"/>
        <v>18.869415592934072</v>
      </c>
    </row>
    <row r="25" spans="1:13" x14ac:dyDescent="0.25">
      <c r="A25" s="40">
        <f t="shared" si="12"/>
        <v>230</v>
      </c>
      <c r="B25" s="1" t="e">
        <f t="shared" si="0"/>
        <v>#N/A</v>
      </c>
      <c r="C25" s="1" t="e">
        <f t="shared" si="1"/>
        <v>#N/A</v>
      </c>
      <c r="D25" s="1" t="e">
        <f t="shared" si="2"/>
        <v>#N/A</v>
      </c>
      <c r="E25" s="1" t="e">
        <f t="shared" si="3"/>
        <v>#N/A</v>
      </c>
      <c r="F25" s="45" t="e">
        <f t="shared" si="4"/>
        <v>#N/A</v>
      </c>
      <c r="G25" s="47" t="e">
        <f t="shared" si="5"/>
        <v>#N/A</v>
      </c>
      <c r="H25" s="1">
        <f t="shared" si="6"/>
        <v>20613.49693251534</v>
      </c>
      <c r="I25" s="1">
        <f t="shared" si="7"/>
        <v>39697.542533081287</v>
      </c>
      <c r="J25" s="1">
        <f t="shared" si="8"/>
        <v>7042.2535211267614</v>
      </c>
      <c r="K25" s="1">
        <f t="shared" si="9"/>
        <v>73576.71016442102</v>
      </c>
      <c r="L25" s="45">
        <f t="shared" si="10"/>
        <v>33.072517601654958</v>
      </c>
      <c r="M25" s="47">
        <f t="shared" si="11"/>
        <v>18.175751126379605</v>
      </c>
    </row>
    <row r="26" spans="1:13" x14ac:dyDescent="0.25">
      <c r="A26" s="40">
        <f t="shared" si="12"/>
        <v>235</v>
      </c>
      <c r="B26" s="1" t="e">
        <f t="shared" si="0"/>
        <v>#N/A</v>
      </c>
      <c r="C26" s="1" t="e">
        <f t="shared" si="1"/>
        <v>#N/A</v>
      </c>
      <c r="D26" s="1" t="e">
        <f t="shared" si="2"/>
        <v>#N/A</v>
      </c>
      <c r="E26" s="1" t="e">
        <f t="shared" si="3"/>
        <v>#N/A</v>
      </c>
      <c r="F26" s="45" t="e">
        <f t="shared" si="4"/>
        <v>#N/A</v>
      </c>
      <c r="G26" s="47" t="e">
        <f t="shared" si="5"/>
        <v>#N/A</v>
      </c>
      <c r="H26" s="1">
        <f t="shared" si="6"/>
        <v>20240.963855421687</v>
      </c>
      <c r="I26" s="1">
        <f t="shared" si="7"/>
        <v>38026.25622453598</v>
      </c>
      <c r="J26" s="1">
        <f t="shared" si="8"/>
        <v>6944.4444444444443</v>
      </c>
      <c r="K26" s="1">
        <f t="shared" si="9"/>
        <v>70940.942650094381</v>
      </c>
      <c r="L26" s="45">
        <f t="shared" si="10"/>
        <v>31.887747756460239</v>
      </c>
      <c r="M26" s="47">
        <f t="shared" si="11"/>
        <v>17.524634023422166</v>
      </c>
    </row>
    <row r="27" spans="1:13" x14ac:dyDescent="0.25">
      <c r="A27" s="40">
        <f t="shared" si="12"/>
        <v>240</v>
      </c>
      <c r="B27" s="1" t="e">
        <f t="shared" si="0"/>
        <v>#N/A</v>
      </c>
      <c r="C27" s="1" t="e">
        <f t="shared" si="1"/>
        <v>#N/A</v>
      </c>
      <c r="D27" s="1" t="e">
        <f t="shared" si="2"/>
        <v>#N/A</v>
      </c>
      <c r="E27" s="1" t="e">
        <f t="shared" si="3"/>
        <v>#N/A</v>
      </c>
      <c r="F27" s="45" t="e">
        <f t="shared" si="4"/>
        <v>#N/A</v>
      </c>
      <c r="G27" s="47" t="e">
        <f t="shared" si="5"/>
        <v>#N/A</v>
      </c>
      <c r="H27" s="1">
        <f t="shared" si="6"/>
        <v>19881.656804733728</v>
      </c>
      <c r="I27" s="1">
        <f t="shared" si="7"/>
        <v>36458.333333333336</v>
      </c>
      <c r="J27" s="1">
        <f t="shared" si="8"/>
        <v>6849.3150684931506</v>
      </c>
      <c r="K27" s="1">
        <f t="shared" si="9"/>
        <v>68463.343913583216</v>
      </c>
      <c r="L27" s="45">
        <f t="shared" si="10"/>
        <v>30.774074317677879</v>
      </c>
      <c r="M27" s="47">
        <f t="shared" si="11"/>
        <v>16.912589560911861</v>
      </c>
    </row>
    <row r="28" spans="1:13" x14ac:dyDescent="0.25">
      <c r="A28" s="40">
        <f t="shared" si="12"/>
        <v>245</v>
      </c>
      <c r="B28" s="1" t="e">
        <f t="shared" si="0"/>
        <v>#N/A</v>
      </c>
      <c r="C28" s="1" t="e">
        <f t="shared" si="1"/>
        <v>#N/A</v>
      </c>
      <c r="D28" s="1" t="e">
        <f t="shared" si="2"/>
        <v>#N/A</v>
      </c>
      <c r="E28" s="1" t="e">
        <f t="shared" si="3"/>
        <v>#N/A</v>
      </c>
      <c r="F28" s="45" t="e">
        <f t="shared" si="4"/>
        <v>#N/A</v>
      </c>
      <c r="G28" s="47" t="e">
        <f t="shared" si="5"/>
        <v>#N/A</v>
      </c>
      <c r="H28" s="1">
        <f t="shared" si="6"/>
        <v>19534.883720930233</v>
      </c>
      <c r="I28" s="1">
        <f t="shared" si="7"/>
        <v>34985.422740524788</v>
      </c>
      <c r="J28" s="1">
        <f t="shared" si="8"/>
        <v>6756.7567567567567</v>
      </c>
      <c r="K28" s="1">
        <f t="shared" si="9"/>
        <v>66131.262159600228</v>
      </c>
      <c r="L28" s="45">
        <f t="shared" si="10"/>
        <v>29.725810340058548</v>
      </c>
      <c r="M28" s="47">
        <f t="shared" si="11"/>
        <v>16.336492349280039</v>
      </c>
    </row>
    <row r="29" spans="1:13" x14ac:dyDescent="0.25">
      <c r="A29" s="40">
        <f t="shared" si="12"/>
        <v>250</v>
      </c>
      <c r="B29" s="1" t="e">
        <f t="shared" si="0"/>
        <v>#N/A</v>
      </c>
      <c r="C29" s="1" t="e">
        <f t="shared" si="1"/>
        <v>#N/A</v>
      </c>
      <c r="D29" s="1" t="e">
        <f t="shared" si="2"/>
        <v>#N/A</v>
      </c>
      <c r="E29" s="1" t="e">
        <f t="shared" si="3"/>
        <v>#N/A</v>
      </c>
      <c r="F29" s="45" t="e">
        <f t="shared" si="4"/>
        <v>#N/A</v>
      </c>
      <c r="G29" s="47" t="e">
        <f t="shared" si="5"/>
        <v>#N/A</v>
      </c>
      <c r="H29" s="1">
        <f t="shared" si="6"/>
        <v>19200</v>
      </c>
      <c r="I29" s="1">
        <f t="shared" si="7"/>
        <v>33600</v>
      </c>
      <c r="J29" s="1">
        <f t="shared" si="8"/>
        <v>6666.666666666667</v>
      </c>
      <c r="K29" s="1">
        <f t="shared" si="9"/>
        <v>63933.292130186157</v>
      </c>
      <c r="L29" s="45">
        <f t="shared" si="10"/>
        <v>28.737829193262748</v>
      </c>
      <c r="M29" s="47">
        <f t="shared" si="11"/>
        <v>15.793524932707646</v>
      </c>
    </row>
    <row r="30" spans="1:13" x14ac:dyDescent="0.25">
      <c r="A30" s="40">
        <f t="shared" si="12"/>
        <v>255</v>
      </c>
      <c r="B30" s="1" t="e">
        <f t="shared" si="0"/>
        <v>#N/A</v>
      </c>
      <c r="C30" s="1" t="e">
        <f t="shared" si="1"/>
        <v>#N/A</v>
      </c>
      <c r="D30" s="1" t="e">
        <f t="shared" si="2"/>
        <v>#N/A</v>
      </c>
      <c r="E30" s="1" t="e">
        <f t="shared" si="3"/>
        <v>#N/A</v>
      </c>
      <c r="F30" s="45" t="e">
        <f t="shared" si="4"/>
        <v>#N/A</v>
      </c>
      <c r="G30" s="47" t="e">
        <f t="shared" si="5"/>
        <v>#N/A</v>
      </c>
      <c r="H30" s="1">
        <f t="shared" si="6"/>
        <v>18876.404494382023</v>
      </c>
      <c r="I30" s="1">
        <f t="shared" si="7"/>
        <v>32295.271049596311</v>
      </c>
      <c r="J30" s="1">
        <f t="shared" si="8"/>
        <v>6578.9473684210525</v>
      </c>
      <c r="K30" s="1">
        <f t="shared" si="9"/>
        <v>61859.130261210725</v>
      </c>
      <c r="L30" s="45">
        <f t="shared" si="10"/>
        <v>27.805499455128537</v>
      </c>
      <c r="M30" s="47">
        <f t="shared" si="11"/>
        <v>15.281142008245853</v>
      </c>
    </row>
    <row r="31" spans="1:13" x14ac:dyDescent="0.25">
      <c r="A31" s="40">
        <f t="shared" si="12"/>
        <v>260</v>
      </c>
      <c r="B31" s="1" t="e">
        <f t="shared" si="0"/>
        <v>#N/A</v>
      </c>
      <c r="C31" s="1" t="e">
        <f t="shared" si="1"/>
        <v>#N/A</v>
      </c>
      <c r="D31" s="1" t="e">
        <f t="shared" si="2"/>
        <v>#N/A</v>
      </c>
      <c r="E31" s="1" t="e">
        <f t="shared" si="3"/>
        <v>#N/A</v>
      </c>
      <c r="F31" s="45" t="e">
        <f t="shared" si="4"/>
        <v>#N/A</v>
      </c>
      <c r="G31" s="47" t="e">
        <f t="shared" si="5"/>
        <v>#N/A</v>
      </c>
      <c r="H31" s="1">
        <f t="shared" si="6"/>
        <v>18563.535911602212</v>
      </c>
      <c r="I31" s="1">
        <f t="shared" si="7"/>
        <v>31065.088757396446</v>
      </c>
      <c r="J31" s="1">
        <f t="shared" si="8"/>
        <v>6493.5064935064929</v>
      </c>
      <c r="K31" s="1">
        <f t="shared" si="9"/>
        <v>59899.44912194147</v>
      </c>
      <c r="L31" s="45">
        <f t="shared" si="10"/>
        <v>26.924628472622249</v>
      </c>
      <c r="M31" s="47">
        <f t="shared" si="11"/>
        <v>14.797039408458211</v>
      </c>
    </row>
    <row r="32" spans="1:13" x14ac:dyDescent="0.25">
      <c r="A32" s="40">
        <f t="shared" si="12"/>
        <v>265</v>
      </c>
      <c r="B32" s="1" t="e">
        <f t="shared" si="0"/>
        <v>#N/A</v>
      </c>
      <c r="C32" s="1" t="e">
        <f t="shared" si="1"/>
        <v>#N/A</v>
      </c>
      <c r="D32" s="1" t="e">
        <f t="shared" si="2"/>
        <v>#N/A</v>
      </c>
      <c r="E32" s="1" t="e">
        <f t="shared" si="3"/>
        <v>#N/A</v>
      </c>
      <c r="F32" s="45" t="e">
        <f t="shared" si="4"/>
        <v>#N/A</v>
      </c>
      <c r="G32" s="47" t="e">
        <f t="shared" si="5"/>
        <v>#N/A</v>
      </c>
      <c r="H32" s="1">
        <f t="shared" si="6"/>
        <v>18260.869565217392</v>
      </c>
      <c r="I32" s="1">
        <f t="shared" si="7"/>
        <v>29903.88038447846</v>
      </c>
      <c r="J32" s="1">
        <f t="shared" si="8"/>
        <v>6410.2564102564102</v>
      </c>
      <c r="K32" s="1">
        <f t="shared" si="9"/>
        <v>58045.788256987413</v>
      </c>
      <c r="L32" s="45">
        <f t="shared" si="10"/>
        <v>26.091413295609115</v>
      </c>
      <c r="M32" s="47">
        <f t="shared" si="11"/>
        <v>14.339127135962961</v>
      </c>
    </row>
    <row r="33" spans="1:13" x14ac:dyDescent="0.25">
      <c r="A33" s="40">
        <f t="shared" si="12"/>
        <v>270</v>
      </c>
      <c r="B33" s="1" t="e">
        <f t="shared" si="0"/>
        <v>#N/A</v>
      </c>
      <c r="C33" s="1" t="e">
        <f t="shared" si="1"/>
        <v>#N/A</v>
      </c>
      <c r="D33" s="1" t="e">
        <f t="shared" si="2"/>
        <v>#N/A</v>
      </c>
      <c r="E33" s="1" t="e">
        <f t="shared" si="3"/>
        <v>#N/A</v>
      </c>
      <c r="F33" s="45" t="e">
        <f t="shared" si="4"/>
        <v>#N/A</v>
      </c>
      <c r="G33" s="47" t="e">
        <f t="shared" si="5"/>
        <v>#N/A</v>
      </c>
      <c r="H33" s="1">
        <f t="shared" si="6"/>
        <v>17967.914438502674</v>
      </c>
      <c r="I33" s="1">
        <f t="shared" si="7"/>
        <v>28806.584362139914</v>
      </c>
      <c r="J33" s="1">
        <f t="shared" si="8"/>
        <v>6329.1139240506327</v>
      </c>
      <c r="K33" s="1">
        <f t="shared" si="9"/>
        <v>56290.459025314645</v>
      </c>
      <c r="L33" s="45">
        <f t="shared" si="10"/>
        <v>25.302397902267035</v>
      </c>
      <c r="M33" s="47">
        <f t="shared" si="11"/>
        <v>13.905505855690343</v>
      </c>
    </row>
    <row r="34" spans="1:13" x14ac:dyDescent="0.25">
      <c r="A34" s="40">
        <f t="shared" si="12"/>
        <v>275</v>
      </c>
      <c r="B34" s="1" t="e">
        <f t="shared" si="0"/>
        <v>#N/A</v>
      </c>
      <c r="C34" s="1" t="e">
        <f t="shared" si="1"/>
        <v>#N/A</v>
      </c>
      <c r="D34" s="1" t="e">
        <f t="shared" si="2"/>
        <v>#N/A</v>
      </c>
      <c r="E34" s="1" t="e">
        <f t="shared" si="3"/>
        <v>#N/A</v>
      </c>
      <c r="F34" s="45" t="e">
        <f t="shared" si="4"/>
        <v>#N/A</v>
      </c>
      <c r="G34" s="47" t="e">
        <f t="shared" si="5"/>
        <v>#N/A</v>
      </c>
      <c r="H34" s="1">
        <f t="shared" si="6"/>
        <v>17684.21052631579</v>
      </c>
      <c r="I34" s="1">
        <f t="shared" si="7"/>
        <v>27768.595041322311</v>
      </c>
      <c r="J34" s="1">
        <f t="shared" si="8"/>
        <v>6250</v>
      </c>
      <c r="K34" s="1">
        <f t="shared" si="9"/>
        <v>54626.461420811545</v>
      </c>
      <c r="L34" s="45">
        <f t="shared" si="10"/>
        <v>24.554435810172134</v>
      </c>
      <c r="M34" s="47">
        <f t="shared" si="11"/>
        <v>13.494446346957847</v>
      </c>
    </row>
    <row r="35" spans="1:13" x14ac:dyDescent="0.25">
      <c r="A35" s="40">
        <f t="shared" si="12"/>
        <v>280</v>
      </c>
      <c r="B35" s="1" t="e">
        <f t="shared" si="0"/>
        <v>#N/A</v>
      </c>
      <c r="C35" s="1" t="e">
        <f t="shared" si="1"/>
        <v>#N/A</v>
      </c>
      <c r="D35" s="1" t="e">
        <f t="shared" si="2"/>
        <v>#N/A</v>
      </c>
      <c r="E35" s="1" t="e">
        <f t="shared" si="3"/>
        <v>#N/A</v>
      </c>
      <c r="F35" s="45" t="e">
        <f t="shared" si="4"/>
        <v>#N/A</v>
      </c>
      <c r="G35" s="47" t="e">
        <f t="shared" si="5"/>
        <v>#N/A</v>
      </c>
      <c r="H35" s="1">
        <f t="shared" si="6"/>
        <v>17409.326424870465</v>
      </c>
      <c r="I35" s="1">
        <f t="shared" si="7"/>
        <v>26785.714285714283</v>
      </c>
      <c r="J35" s="1">
        <f t="shared" si="8"/>
        <v>6172.8395061728388</v>
      </c>
      <c r="K35" s="1">
        <f t="shared" si="9"/>
        <v>53047.411179710398</v>
      </c>
      <c r="L35" s="45">
        <f t="shared" si="10"/>
        <v>23.84465731129643</v>
      </c>
      <c r="M35" s="47">
        <f t="shared" si="11"/>
        <v>13.104371496721033</v>
      </c>
    </row>
    <row r="36" spans="1:13" x14ac:dyDescent="0.25">
      <c r="A36" s="40">
        <f t="shared" si="12"/>
        <v>285</v>
      </c>
      <c r="B36" s="1" t="e">
        <f t="shared" ref="B36:B67" si="13">IF(Load_Case=1,(6*FL_SUS*H_STRC)/((0.001*L_STRC)^2+(6*A36*L_STRC*0.000001)),NA())</f>
        <v>#N/A</v>
      </c>
      <c r="C36" s="1" t="e">
        <f t="shared" ref="C36:C67" si="14">IF(Load_Case=1,(3*FC_SUS*H_STRC)/((A36*0.001)^2),NA())</f>
        <v>#N/A</v>
      </c>
      <c r="D36" s="1" t="e">
        <f t="shared" ref="D36:D67" si="15">IF(Load_Case=1,FA_SUS*1000/((L_STRC+2*A36)*0.001),NA())</f>
        <v>#N/A</v>
      </c>
      <c r="E36" s="1" t="e">
        <f t="shared" ref="E36:E67" si="16">1.5*D36+SQRT((B36^2+(1.5*C36)^2))</f>
        <v>#N/A</v>
      </c>
      <c r="F36" s="45" t="e">
        <f t="shared" ref="F36:F67" si="17">IF(SL_STRC,(1.17*E36*SQRT(0.5*D*0.001))*0.000001/((tnet_STRC*0.001)^1.5),NA())</f>
        <v>#N/A</v>
      </c>
      <c r="G36" s="47" t="e">
        <f t="shared" ref="G36:G67" si="18">IF(SC_STRC,(0.643*E36*SQRT((D*0.5)*0.001))*0.000001/((tnet_STRC*0.001)^1.5),NA())</f>
        <v>#N/A</v>
      </c>
      <c r="H36" s="1">
        <f t="shared" ref="H36:H67" si="19">IF(Load_Case=2,(6*FL_EXP*H_STRC)/((0.001*L_STRC)^2+(6*A36*L_STRC*0.000001)),NA())</f>
        <v>17142.857142857145</v>
      </c>
      <c r="I36" s="1">
        <f t="shared" ref="I36:I67" si="20">IF(Load_Case=2,(3*FC_EXP*H_STRC)/((A36*0.001)^2),NA())</f>
        <v>25854.108956602024</v>
      </c>
      <c r="J36" s="1">
        <f t="shared" ref="J36:J67" si="21">IF(Load_Case=2,FA_EXP*1000/((L_STRC+2*A36)*0.001),NA())</f>
        <v>6097.5609756097556</v>
      </c>
      <c r="K36" s="1">
        <f t="shared" ref="K36:K67" si="22">1.5*J36+SQRT((H36^2+(1.5*I36)^2))</f>
        <v>51547.475745236246</v>
      </c>
      <c r="L36" s="45">
        <f t="shared" ref="L36:L67" si="23">IF(SL_STRC,(1.17*K36*SQRT(0.5*D*0.001))*0.000001/((tnet_STRC*0.001)^1.5),NA())</f>
        <v>23.170440688303408</v>
      </c>
      <c r="M36" s="47">
        <f t="shared" ref="M36:M67" si="24">IF(SC_STRC,(0.643*K36*SQRT((D*0.5)*0.001))*0.000001/((tnet_STRC*0.001)^1.5),NA())</f>
        <v>12.733840480836834</v>
      </c>
    </row>
    <row r="37" spans="1:13" x14ac:dyDescent="0.25">
      <c r="A37" s="65">
        <f t="shared" ref="A37:A68" si="25">IF((A36+W_STRC_Increment)&gt;Max_STRC_W,NA(),A36+W_STRC_Increment)</f>
        <v>290</v>
      </c>
      <c r="B37" s="98" t="e">
        <f t="shared" si="13"/>
        <v>#N/A</v>
      </c>
      <c r="C37" s="98" t="e">
        <f t="shared" si="14"/>
        <v>#N/A</v>
      </c>
      <c r="D37" s="98" t="e">
        <f t="shared" si="15"/>
        <v>#N/A</v>
      </c>
      <c r="E37" s="98" t="e">
        <f t="shared" si="16"/>
        <v>#N/A</v>
      </c>
      <c r="F37" s="99" t="e">
        <f t="shared" si="17"/>
        <v>#N/A</v>
      </c>
      <c r="G37" s="100" t="e">
        <f t="shared" si="18"/>
        <v>#N/A</v>
      </c>
      <c r="H37" s="98">
        <f t="shared" si="19"/>
        <v>16884.422110552765</v>
      </c>
      <c r="I37" s="98">
        <f t="shared" si="20"/>
        <v>24970.273483947683</v>
      </c>
      <c r="J37" s="98">
        <f t="shared" si="21"/>
        <v>6024.0963855421678</v>
      </c>
      <c r="K37" s="98">
        <f t="shared" si="22"/>
        <v>50121.317879631941</v>
      </c>
      <c r="L37" s="99">
        <f t="shared" si="23"/>
        <v>22.529386868316973</v>
      </c>
      <c r="M37" s="100">
        <f t="shared" si="24"/>
        <v>12.381534834468217</v>
      </c>
    </row>
    <row r="38" spans="1:13" x14ac:dyDescent="0.25">
      <c r="A38" s="40">
        <f t="shared" si="25"/>
        <v>295</v>
      </c>
      <c r="B38" s="1" t="e">
        <f t="shared" si="13"/>
        <v>#N/A</v>
      </c>
      <c r="C38" s="1" t="e">
        <f t="shared" si="14"/>
        <v>#N/A</v>
      </c>
      <c r="D38" s="1" t="e">
        <f t="shared" si="15"/>
        <v>#N/A</v>
      </c>
      <c r="E38" s="1" t="e">
        <f t="shared" si="16"/>
        <v>#N/A</v>
      </c>
      <c r="F38" s="45" t="e">
        <f t="shared" si="17"/>
        <v>#N/A</v>
      </c>
      <c r="G38" s="47" t="e">
        <f t="shared" si="18"/>
        <v>#N/A</v>
      </c>
      <c r="H38" s="1">
        <f t="shared" si="19"/>
        <v>16633.663366336634</v>
      </c>
      <c r="I38" s="1">
        <f t="shared" si="20"/>
        <v>24130.996839988511</v>
      </c>
      <c r="J38" s="1">
        <f t="shared" si="21"/>
        <v>5952.3809523809523</v>
      </c>
      <c r="K38" s="1">
        <f t="shared" si="22"/>
        <v>48764.045896569973</v>
      </c>
      <c r="L38" s="45">
        <f t="shared" si="23"/>
        <v>21.919297052535072</v>
      </c>
      <c r="M38" s="47">
        <f t="shared" si="24"/>
        <v>12.046246157931666</v>
      </c>
    </row>
    <row r="39" spans="1:13" x14ac:dyDescent="0.25">
      <c r="A39" s="40">
        <f t="shared" si="25"/>
        <v>300</v>
      </c>
      <c r="B39" s="1" t="e">
        <f t="shared" si="13"/>
        <v>#N/A</v>
      </c>
      <c r="C39" s="1" t="e">
        <f t="shared" si="14"/>
        <v>#N/A</v>
      </c>
      <c r="D39" s="1" t="e">
        <f t="shared" si="15"/>
        <v>#N/A</v>
      </c>
      <c r="E39" s="1" t="e">
        <f t="shared" si="16"/>
        <v>#N/A</v>
      </c>
      <c r="F39" s="45" t="e">
        <f t="shared" si="17"/>
        <v>#N/A</v>
      </c>
      <c r="G39" s="47" t="e">
        <f t="shared" si="18"/>
        <v>#N/A</v>
      </c>
      <c r="H39" s="1">
        <f t="shared" si="19"/>
        <v>16390.243902439026</v>
      </c>
      <c r="I39" s="1">
        <f t="shared" si="20"/>
        <v>23333.333333333336</v>
      </c>
      <c r="J39" s="1">
        <f t="shared" si="21"/>
        <v>5882.3529411764712</v>
      </c>
      <c r="K39" s="1">
        <f t="shared" si="22"/>
        <v>47471.169639616128</v>
      </c>
      <c r="L39" s="45">
        <f t="shared" si="23"/>
        <v>21.338152928676912</v>
      </c>
      <c r="M39" s="47">
        <f t="shared" si="24"/>
        <v>11.726865241999363</v>
      </c>
    </row>
    <row r="40" spans="1:13" x14ac:dyDescent="0.25">
      <c r="A40" s="40">
        <f t="shared" si="25"/>
        <v>305</v>
      </c>
      <c r="B40" s="1" t="e">
        <f t="shared" si="13"/>
        <v>#N/A</v>
      </c>
      <c r="C40" s="1" t="e">
        <f t="shared" si="14"/>
        <v>#N/A</v>
      </c>
      <c r="D40" s="1" t="e">
        <f t="shared" si="15"/>
        <v>#N/A</v>
      </c>
      <c r="E40" s="1" t="e">
        <f t="shared" si="16"/>
        <v>#N/A</v>
      </c>
      <c r="F40" s="45" t="e">
        <f t="shared" si="17"/>
        <v>#N/A</v>
      </c>
      <c r="G40" s="47" t="e">
        <f t="shared" si="18"/>
        <v>#N/A</v>
      </c>
      <c r="H40" s="1">
        <f t="shared" si="19"/>
        <v>16153.846153846152</v>
      </c>
      <c r="I40" s="1">
        <f t="shared" si="20"/>
        <v>22574.576726686377</v>
      </c>
      <c r="J40" s="1">
        <f t="shared" si="21"/>
        <v>5813.9534883720935</v>
      </c>
      <c r="K40" s="1">
        <f t="shared" si="22"/>
        <v>46238.561460255514</v>
      </c>
      <c r="L40" s="45">
        <f t="shared" si="23"/>
        <v>20.784099130718978</v>
      </c>
      <c r="M40" s="47">
        <f t="shared" si="24"/>
        <v>11.422372428249833</v>
      </c>
    </row>
    <row r="41" spans="1:13" x14ac:dyDescent="0.25">
      <c r="A41" s="40">
        <f t="shared" si="25"/>
        <v>310</v>
      </c>
      <c r="B41" s="1" t="e">
        <f t="shared" si="13"/>
        <v>#N/A</v>
      </c>
      <c r="C41" s="1" t="e">
        <f t="shared" si="14"/>
        <v>#N/A</v>
      </c>
      <c r="D41" s="1" t="e">
        <f t="shared" si="15"/>
        <v>#N/A</v>
      </c>
      <c r="E41" s="1" t="e">
        <f t="shared" si="16"/>
        <v>#N/A</v>
      </c>
      <c r="F41" s="45" t="e">
        <f t="shared" si="17"/>
        <v>#N/A</v>
      </c>
      <c r="G41" s="47" t="e">
        <f t="shared" si="18"/>
        <v>#N/A</v>
      </c>
      <c r="H41" s="1">
        <f t="shared" si="19"/>
        <v>15924.170616113744</v>
      </c>
      <c r="I41" s="1">
        <f t="shared" si="20"/>
        <v>21852.2372528616</v>
      </c>
      <c r="J41" s="1">
        <f t="shared" si="21"/>
        <v>5747.1264367816093</v>
      </c>
      <c r="K41" s="1">
        <f t="shared" si="22"/>
        <v>45062.421556395813</v>
      </c>
      <c r="L41" s="45">
        <f t="shared" si="23"/>
        <v>20.255427658652831</v>
      </c>
      <c r="M41" s="47">
        <f t="shared" si="24"/>
        <v>11.131829046592967</v>
      </c>
    </row>
    <row r="42" spans="1:13" x14ac:dyDescent="0.25">
      <c r="A42" s="40">
        <f t="shared" si="25"/>
        <v>315</v>
      </c>
      <c r="B42" s="1" t="e">
        <f t="shared" si="13"/>
        <v>#N/A</v>
      </c>
      <c r="C42" s="1" t="e">
        <f t="shared" si="14"/>
        <v>#N/A</v>
      </c>
      <c r="D42" s="1" t="e">
        <f t="shared" si="15"/>
        <v>#N/A</v>
      </c>
      <c r="E42" s="1" t="e">
        <f t="shared" si="16"/>
        <v>#N/A</v>
      </c>
      <c r="F42" s="45" t="e">
        <f t="shared" si="17"/>
        <v>#N/A</v>
      </c>
      <c r="G42" s="47" t="e">
        <f t="shared" si="18"/>
        <v>#N/A</v>
      </c>
      <c r="H42" s="1">
        <f t="shared" si="19"/>
        <v>15700.934579439254</v>
      </c>
      <c r="I42" s="1">
        <f t="shared" si="20"/>
        <v>21164.021164021164</v>
      </c>
      <c r="J42" s="1">
        <f t="shared" si="21"/>
        <v>5681.818181818182</v>
      </c>
      <c r="K42" s="1">
        <f t="shared" si="22"/>
        <v>43939.247122761757</v>
      </c>
      <c r="L42" s="45">
        <f t="shared" si="23"/>
        <v>19.750564011677024</v>
      </c>
      <c r="M42" s="47">
        <f t="shared" si="24"/>
        <v>10.854369794451564</v>
      </c>
    </row>
    <row r="43" spans="1:13" x14ac:dyDescent="0.25">
      <c r="A43" s="40">
        <f t="shared" si="25"/>
        <v>320</v>
      </c>
      <c r="B43" s="1" t="e">
        <f t="shared" si="13"/>
        <v>#N/A</v>
      </c>
      <c r="C43" s="1" t="e">
        <f t="shared" si="14"/>
        <v>#N/A</v>
      </c>
      <c r="D43" s="1" t="e">
        <f t="shared" si="15"/>
        <v>#N/A</v>
      </c>
      <c r="E43" s="1" t="e">
        <f t="shared" si="16"/>
        <v>#N/A</v>
      </c>
      <c r="F43" s="45" t="e">
        <f t="shared" si="17"/>
        <v>#N/A</v>
      </c>
      <c r="G43" s="47" t="e">
        <f t="shared" si="18"/>
        <v>#N/A</v>
      </c>
      <c r="H43" s="1">
        <f t="shared" si="19"/>
        <v>15483.870967741936</v>
      </c>
      <c r="I43" s="1">
        <f t="shared" si="20"/>
        <v>20507.8125</v>
      </c>
      <c r="J43" s="1">
        <f t="shared" si="21"/>
        <v>5617.9775280898875</v>
      </c>
      <c r="K43" s="1">
        <f t="shared" si="22"/>
        <v>42865.804841072328</v>
      </c>
      <c r="L43" s="45">
        <f t="shared" si="23"/>
        <v>19.268054822611635</v>
      </c>
      <c r="M43" s="47">
        <f t="shared" si="24"/>
        <v>10.589195940973745</v>
      </c>
    </row>
    <row r="44" spans="1:13" x14ac:dyDescent="0.25">
      <c r="A44" s="40">
        <f t="shared" si="25"/>
        <v>325</v>
      </c>
      <c r="B44" s="1" t="e">
        <f t="shared" si="13"/>
        <v>#N/A</v>
      </c>
      <c r="C44" s="1" t="e">
        <f t="shared" si="14"/>
        <v>#N/A</v>
      </c>
      <c r="D44" s="1" t="e">
        <f t="shared" si="15"/>
        <v>#N/A</v>
      </c>
      <c r="E44" s="1" t="e">
        <f t="shared" si="16"/>
        <v>#N/A</v>
      </c>
      <c r="F44" s="45" t="e">
        <f t="shared" si="17"/>
        <v>#N/A</v>
      </c>
      <c r="G44" s="47" t="e">
        <f t="shared" si="18"/>
        <v>#N/A</v>
      </c>
      <c r="H44" s="1">
        <f t="shared" si="19"/>
        <v>15272.727272727272</v>
      </c>
      <c r="I44" s="1">
        <f t="shared" si="20"/>
        <v>19881.656804733724</v>
      </c>
      <c r="J44" s="1">
        <f t="shared" si="21"/>
        <v>5555.5555555555557</v>
      </c>
      <c r="K44" s="1">
        <f t="shared" si="22"/>
        <v>41839.106302701475</v>
      </c>
      <c r="L44" s="45">
        <f t="shared" si="23"/>
        <v>18.806556810455568</v>
      </c>
      <c r="M44" s="47">
        <f t="shared" si="24"/>
        <v>10.335569255660625</v>
      </c>
    </row>
    <row r="45" spans="1:13" x14ac:dyDescent="0.25">
      <c r="A45" s="40">
        <f t="shared" si="25"/>
        <v>330</v>
      </c>
      <c r="B45" s="1" t="e">
        <f t="shared" si="13"/>
        <v>#N/A</v>
      </c>
      <c r="C45" s="1" t="e">
        <f t="shared" si="14"/>
        <v>#N/A</v>
      </c>
      <c r="D45" s="1" t="e">
        <f t="shared" si="15"/>
        <v>#N/A</v>
      </c>
      <c r="E45" s="1" t="e">
        <f t="shared" si="16"/>
        <v>#N/A</v>
      </c>
      <c r="F45" s="45" t="e">
        <f t="shared" si="17"/>
        <v>#N/A</v>
      </c>
      <c r="G45" s="47" t="e">
        <f t="shared" si="18"/>
        <v>#N/A</v>
      </c>
      <c r="H45" s="1">
        <f t="shared" si="19"/>
        <v>15067.264573991031</v>
      </c>
      <c r="I45" s="1">
        <f t="shared" si="20"/>
        <v>19283.746556473827</v>
      </c>
      <c r="J45" s="1">
        <f t="shared" si="21"/>
        <v>5494.5054945054944</v>
      </c>
      <c r="K45" s="1">
        <f t="shared" si="22"/>
        <v>40856.386011592695</v>
      </c>
      <c r="L45" s="45">
        <f t="shared" si="23"/>
        <v>18.364826892760568</v>
      </c>
      <c r="M45" s="47">
        <f t="shared" si="24"/>
        <v>10.092806574397475</v>
      </c>
    </row>
    <row r="46" spans="1:13" x14ac:dyDescent="0.25">
      <c r="A46" s="40">
        <f t="shared" si="25"/>
        <v>335</v>
      </c>
      <c r="B46" s="1" t="e">
        <f t="shared" si="13"/>
        <v>#N/A</v>
      </c>
      <c r="C46" s="1" t="e">
        <f t="shared" si="14"/>
        <v>#N/A</v>
      </c>
      <c r="D46" s="1" t="e">
        <f t="shared" si="15"/>
        <v>#N/A</v>
      </c>
      <c r="E46" s="1" t="e">
        <f t="shared" si="16"/>
        <v>#N/A</v>
      </c>
      <c r="F46" s="45" t="e">
        <f t="shared" si="17"/>
        <v>#N/A</v>
      </c>
      <c r="G46" s="47" t="e">
        <f t="shared" si="18"/>
        <v>#N/A</v>
      </c>
      <c r="H46" s="1">
        <f t="shared" si="19"/>
        <v>14867.256637168142</v>
      </c>
      <c r="I46" s="1">
        <f t="shared" si="20"/>
        <v>18712.408108710177</v>
      </c>
      <c r="J46" s="1">
        <f t="shared" si="21"/>
        <v>5434.782608695652</v>
      </c>
      <c r="K46" s="1">
        <f t="shared" si="22"/>
        <v>39915.081662114491</v>
      </c>
      <c r="L46" s="45">
        <f t="shared" si="23"/>
        <v>17.941713320584487</v>
      </c>
      <c r="M46" s="47">
        <f t="shared" si="24"/>
        <v>9.8602749274665165</v>
      </c>
    </row>
    <row r="47" spans="1:13" x14ac:dyDescent="0.25">
      <c r="A47" s="40">
        <f t="shared" si="25"/>
        <v>340</v>
      </c>
      <c r="B47" s="1" t="e">
        <f t="shared" si="13"/>
        <v>#N/A</v>
      </c>
      <c r="C47" s="1" t="e">
        <f t="shared" si="14"/>
        <v>#N/A</v>
      </c>
      <c r="D47" s="1" t="e">
        <f t="shared" si="15"/>
        <v>#N/A</v>
      </c>
      <c r="E47" s="1" t="e">
        <f t="shared" si="16"/>
        <v>#N/A</v>
      </c>
      <c r="F47" s="45" t="e">
        <f t="shared" si="17"/>
        <v>#N/A</v>
      </c>
      <c r="G47" s="47" t="e">
        <f t="shared" si="18"/>
        <v>#N/A</v>
      </c>
      <c r="H47" s="1">
        <f t="shared" si="19"/>
        <v>14672.489082969432</v>
      </c>
      <c r="I47" s="1">
        <f t="shared" si="20"/>
        <v>18166.089965397921</v>
      </c>
      <c r="J47" s="1">
        <f t="shared" si="21"/>
        <v>5376.3440860215051</v>
      </c>
      <c r="K47" s="1">
        <f t="shared" si="22"/>
        <v>39012.816426616482</v>
      </c>
      <c r="L47" s="45">
        <f t="shared" si="23"/>
        <v>17.536147716799189</v>
      </c>
      <c r="M47" s="47">
        <f t="shared" si="24"/>
        <v>9.6373871640186994</v>
      </c>
    </row>
    <row r="48" spans="1:13" x14ac:dyDescent="0.25">
      <c r="A48" s="40">
        <f t="shared" si="25"/>
        <v>345</v>
      </c>
      <c r="B48" s="1" t="e">
        <f t="shared" si="13"/>
        <v>#N/A</v>
      </c>
      <c r="C48" s="1" t="e">
        <f t="shared" si="14"/>
        <v>#N/A</v>
      </c>
      <c r="D48" s="1" t="e">
        <f t="shared" si="15"/>
        <v>#N/A</v>
      </c>
      <c r="E48" s="1" t="e">
        <f t="shared" si="16"/>
        <v>#N/A</v>
      </c>
      <c r="F48" s="45" t="e">
        <f t="shared" si="17"/>
        <v>#N/A</v>
      </c>
      <c r="G48" s="47" t="e">
        <f t="shared" si="18"/>
        <v>#N/A</v>
      </c>
      <c r="H48" s="1">
        <f t="shared" si="19"/>
        <v>14482.758620689656</v>
      </c>
      <c r="I48" s="1">
        <f t="shared" si="20"/>
        <v>17643.352236925013</v>
      </c>
      <c r="J48" s="1">
        <f t="shared" si="21"/>
        <v>5319.1489361702124</v>
      </c>
      <c r="K48" s="1">
        <f t="shared" si="22"/>
        <v>38147.383021756163</v>
      </c>
      <c r="L48" s="45">
        <f t="shared" si="23"/>
        <v>17.147137913950683</v>
      </c>
      <c r="M48" s="47">
        <f t="shared" si="24"/>
        <v>9.4235980159575128</v>
      </c>
    </row>
    <row r="49" spans="1:13" x14ac:dyDescent="0.25">
      <c r="A49" s="40">
        <f t="shared" si="25"/>
        <v>350</v>
      </c>
      <c r="B49" s="1" t="e">
        <f t="shared" si="13"/>
        <v>#N/A</v>
      </c>
      <c r="C49" s="1" t="e">
        <f t="shared" si="14"/>
        <v>#N/A</v>
      </c>
      <c r="D49" s="1" t="e">
        <f t="shared" si="15"/>
        <v>#N/A</v>
      </c>
      <c r="E49" s="1" t="e">
        <f t="shared" si="16"/>
        <v>#N/A</v>
      </c>
      <c r="F49" s="45" t="e">
        <f t="shared" si="17"/>
        <v>#N/A</v>
      </c>
      <c r="G49" s="47" t="e">
        <f t="shared" si="18"/>
        <v>#N/A</v>
      </c>
      <c r="H49" s="1">
        <f t="shared" si="19"/>
        <v>14297.872340425531</v>
      </c>
      <c r="I49" s="1">
        <f t="shared" si="20"/>
        <v>17142.857142857138</v>
      </c>
      <c r="J49" s="1">
        <f t="shared" si="21"/>
        <v>5263.1578947368416</v>
      </c>
      <c r="K49" s="1">
        <f t="shared" si="22"/>
        <v>37316.72935211422</v>
      </c>
      <c r="L49" s="45">
        <f t="shared" si="23"/>
        <v>16.773761501105891</v>
      </c>
      <c r="M49" s="47">
        <f t="shared" si="24"/>
        <v>9.2184005514624694</v>
      </c>
    </row>
    <row r="50" spans="1:13" x14ac:dyDescent="0.25">
      <c r="A50" s="40">
        <f t="shared" si="25"/>
        <v>355</v>
      </c>
      <c r="B50" s="1" t="e">
        <f t="shared" si="13"/>
        <v>#N/A</v>
      </c>
      <c r="C50" s="1" t="e">
        <f t="shared" si="14"/>
        <v>#N/A</v>
      </c>
      <c r="D50" s="1" t="e">
        <f t="shared" si="15"/>
        <v>#N/A</v>
      </c>
      <c r="E50" s="1" t="e">
        <f t="shared" si="16"/>
        <v>#N/A</v>
      </c>
      <c r="F50" s="45" t="e">
        <f t="shared" si="17"/>
        <v>#N/A</v>
      </c>
      <c r="G50" s="47" t="e">
        <f t="shared" si="18"/>
        <v>#N/A</v>
      </c>
      <c r="H50" s="1">
        <f t="shared" si="19"/>
        <v>14117.64705882353</v>
      </c>
      <c r="I50" s="1">
        <f t="shared" si="20"/>
        <v>16663.36044435628</v>
      </c>
      <c r="J50" s="1">
        <f t="shared" si="21"/>
        <v>5208.3333333333339</v>
      </c>
      <c r="K50" s="1">
        <f t="shared" si="22"/>
        <v>36518.945554948426</v>
      </c>
      <c r="L50" s="45">
        <f t="shared" si="23"/>
        <v>16.415160000507139</v>
      </c>
      <c r="M50" s="47">
        <f t="shared" si="24"/>
        <v>9.0213229746376857</v>
      </c>
    </row>
    <row r="51" spans="1:13" x14ac:dyDescent="0.25">
      <c r="A51" s="40">
        <f t="shared" si="25"/>
        <v>360</v>
      </c>
      <c r="B51" s="1" t="e">
        <f t="shared" si="13"/>
        <v>#N/A</v>
      </c>
      <c r="C51" s="1" t="e">
        <f t="shared" si="14"/>
        <v>#N/A</v>
      </c>
      <c r="D51" s="1" t="e">
        <f t="shared" si="15"/>
        <v>#N/A</v>
      </c>
      <c r="E51" s="1" t="e">
        <f t="shared" si="16"/>
        <v>#N/A</v>
      </c>
      <c r="F51" s="45" t="e">
        <f t="shared" si="17"/>
        <v>#N/A</v>
      </c>
      <c r="G51" s="47" t="e">
        <f t="shared" si="18"/>
        <v>#N/A</v>
      </c>
      <c r="H51" s="1">
        <f t="shared" si="19"/>
        <v>13941.908713692948</v>
      </c>
      <c r="I51" s="1">
        <f t="shared" si="20"/>
        <v>16203.703703703704</v>
      </c>
      <c r="J51" s="1">
        <f t="shared" si="21"/>
        <v>5154.6391752577319</v>
      </c>
      <c r="K51" s="1">
        <f t="shared" si="22"/>
        <v>35752.252291776422</v>
      </c>
      <c r="L51" s="45">
        <f t="shared" si="23"/>
        <v>16.070533604672605</v>
      </c>
      <c r="M51" s="47">
        <f t="shared" si="24"/>
        <v>8.8319257331662282</v>
      </c>
    </row>
    <row r="52" spans="1:13" x14ac:dyDescent="0.25">
      <c r="A52" s="40">
        <f t="shared" si="25"/>
        <v>365</v>
      </c>
      <c r="B52" s="1" t="e">
        <f t="shared" si="13"/>
        <v>#N/A</v>
      </c>
      <c r="C52" s="1" t="e">
        <f t="shared" si="14"/>
        <v>#N/A</v>
      </c>
      <c r="D52" s="1" t="e">
        <f t="shared" si="15"/>
        <v>#N/A</v>
      </c>
      <c r="E52" s="1" t="e">
        <f t="shared" si="16"/>
        <v>#N/A</v>
      </c>
      <c r="F52" s="45" t="e">
        <f t="shared" si="17"/>
        <v>#N/A</v>
      </c>
      <c r="G52" s="47" t="e">
        <f t="shared" si="18"/>
        <v>#N/A</v>
      </c>
      <c r="H52" s="1">
        <f t="shared" si="19"/>
        <v>13770.491803278688</v>
      </c>
      <c r="I52" s="1">
        <f t="shared" si="20"/>
        <v>15762.807280915746</v>
      </c>
      <c r="J52" s="1">
        <f t="shared" si="21"/>
        <v>5102.0408163265311</v>
      </c>
      <c r="K52" s="1">
        <f t="shared" si="22"/>
        <v>35014.990151350365</v>
      </c>
      <c r="L52" s="45">
        <f t="shared" si="23"/>
        <v>15.739136413064204</v>
      </c>
      <c r="M52" s="47">
        <f t="shared" si="24"/>
        <v>8.6497989005130638</v>
      </c>
    </row>
    <row r="53" spans="1:13" x14ac:dyDescent="0.25">
      <c r="A53" s="40">
        <f t="shared" si="25"/>
        <v>370</v>
      </c>
      <c r="B53" s="1" t="e">
        <f t="shared" si="13"/>
        <v>#N/A</v>
      </c>
      <c r="C53" s="1" t="e">
        <f t="shared" si="14"/>
        <v>#N/A</v>
      </c>
      <c r="D53" s="1" t="e">
        <f t="shared" si="15"/>
        <v>#N/A</v>
      </c>
      <c r="E53" s="1" t="e">
        <f t="shared" si="16"/>
        <v>#N/A</v>
      </c>
      <c r="F53" s="45" t="e">
        <f t="shared" si="17"/>
        <v>#N/A</v>
      </c>
      <c r="G53" s="47" t="e">
        <f t="shared" si="18"/>
        <v>#N/A</v>
      </c>
      <c r="H53" s="1">
        <f t="shared" si="19"/>
        <v>13603.238866396763</v>
      </c>
      <c r="I53" s="1">
        <f t="shared" si="20"/>
        <v>15339.663988312637</v>
      </c>
      <c r="J53" s="1">
        <f t="shared" si="21"/>
        <v>5050.5050505050503</v>
      </c>
      <c r="K53" s="1">
        <f t="shared" si="22"/>
        <v>34305.610044925874</v>
      </c>
      <c r="L53" s="45">
        <f t="shared" si="23"/>
        <v>15.42027211478884</v>
      </c>
      <c r="M53" s="47">
        <f t="shared" si="24"/>
        <v>8.4745598032557492</v>
      </c>
    </row>
    <row r="54" spans="1:13" x14ac:dyDescent="0.25">
      <c r="A54" s="40">
        <f t="shared" si="25"/>
        <v>375</v>
      </c>
      <c r="B54" s="1" t="e">
        <f t="shared" si="13"/>
        <v>#N/A</v>
      </c>
      <c r="C54" s="1" t="e">
        <f t="shared" si="14"/>
        <v>#N/A</v>
      </c>
      <c r="D54" s="1" t="e">
        <f t="shared" si="15"/>
        <v>#N/A</v>
      </c>
      <c r="E54" s="1" t="e">
        <f t="shared" si="16"/>
        <v>#N/A</v>
      </c>
      <c r="F54" s="45" t="e">
        <f t="shared" si="17"/>
        <v>#N/A</v>
      </c>
      <c r="G54" s="47" t="e">
        <f t="shared" si="18"/>
        <v>#N/A</v>
      </c>
      <c r="H54" s="1">
        <f t="shared" si="19"/>
        <v>13440</v>
      </c>
      <c r="I54" s="1">
        <f t="shared" si="20"/>
        <v>14933.333333333334</v>
      </c>
      <c r="J54" s="1">
        <f t="shared" si="21"/>
        <v>5000</v>
      </c>
      <c r="K54" s="1">
        <f t="shared" si="22"/>
        <v>33622.664488906943</v>
      </c>
      <c r="L54" s="45">
        <f t="shared" si="23"/>
        <v>15.113290070172631</v>
      </c>
      <c r="M54" s="47">
        <f t="shared" si="24"/>
        <v>8.3058508676247893</v>
      </c>
    </row>
    <row r="55" spans="1:13" x14ac:dyDescent="0.25">
      <c r="A55" s="40">
        <f t="shared" si="25"/>
        <v>380</v>
      </c>
      <c r="B55" s="1" t="e">
        <f t="shared" si="13"/>
        <v>#N/A</v>
      </c>
      <c r="C55" s="1" t="e">
        <f t="shared" si="14"/>
        <v>#N/A</v>
      </c>
      <c r="D55" s="1" t="e">
        <f t="shared" si="15"/>
        <v>#N/A</v>
      </c>
      <c r="E55" s="1" t="e">
        <f t="shared" si="16"/>
        <v>#N/A</v>
      </c>
      <c r="F55" s="45" t="e">
        <f t="shared" si="17"/>
        <v>#N/A</v>
      </c>
      <c r="G55" s="47" t="e">
        <f t="shared" si="18"/>
        <v>#N/A</v>
      </c>
      <c r="H55" s="1">
        <f t="shared" si="19"/>
        <v>13280.632411067194</v>
      </c>
      <c r="I55" s="1">
        <f t="shared" si="20"/>
        <v>14542.936288088642</v>
      </c>
      <c r="J55" s="1">
        <f t="shared" si="21"/>
        <v>4950.4950495049507</v>
      </c>
      <c r="K55" s="1">
        <f t="shared" si="22"/>
        <v>32964.799682274366</v>
      </c>
      <c r="L55" s="45">
        <f t="shared" si="23"/>
        <v>14.817581749587974</v>
      </c>
      <c r="M55" s="47">
        <f t="shared" si="24"/>
        <v>8.1433376623804001</v>
      </c>
    </row>
    <row r="56" spans="1:13" x14ac:dyDescent="0.25">
      <c r="A56" s="40">
        <f t="shared" si="25"/>
        <v>385</v>
      </c>
      <c r="B56" s="1" t="e">
        <f t="shared" si="13"/>
        <v>#N/A</v>
      </c>
      <c r="C56" s="1" t="e">
        <f t="shared" si="14"/>
        <v>#N/A</v>
      </c>
      <c r="D56" s="1" t="e">
        <f t="shared" si="15"/>
        <v>#N/A</v>
      </c>
      <c r="E56" s="1" t="e">
        <f t="shared" si="16"/>
        <v>#N/A</v>
      </c>
      <c r="F56" s="45" t="e">
        <f t="shared" si="17"/>
        <v>#N/A</v>
      </c>
      <c r="G56" s="47" t="e">
        <f t="shared" si="18"/>
        <v>#N/A</v>
      </c>
      <c r="H56" s="1">
        <f t="shared" si="19"/>
        <v>13125</v>
      </c>
      <c r="I56" s="1">
        <f t="shared" si="20"/>
        <v>14167.650531286896</v>
      </c>
      <c r="J56" s="1">
        <f t="shared" si="21"/>
        <v>4901.9607843137255</v>
      </c>
      <c r="K56" s="1">
        <f t="shared" si="22"/>
        <v>32330.748296942875</v>
      </c>
      <c r="L56" s="45">
        <f t="shared" si="23"/>
        <v>14.532577492740002</v>
      </c>
      <c r="M56" s="47">
        <f t="shared" si="24"/>
        <v>7.9867071178049756</v>
      </c>
    </row>
    <row r="57" spans="1:13" x14ac:dyDescent="0.25">
      <c r="A57" s="40">
        <f t="shared" si="25"/>
        <v>390</v>
      </c>
      <c r="B57" s="1" t="e">
        <f t="shared" si="13"/>
        <v>#N/A</v>
      </c>
      <c r="C57" s="1" t="e">
        <f t="shared" si="14"/>
        <v>#N/A</v>
      </c>
      <c r="D57" s="1" t="e">
        <f t="shared" si="15"/>
        <v>#N/A</v>
      </c>
      <c r="E57" s="1" t="e">
        <f t="shared" si="16"/>
        <v>#N/A</v>
      </c>
      <c r="F57" s="45" t="e">
        <f t="shared" si="17"/>
        <v>#N/A</v>
      </c>
      <c r="G57" s="47" t="e">
        <f t="shared" si="18"/>
        <v>#N/A</v>
      </c>
      <c r="H57" s="1">
        <f t="shared" si="19"/>
        <v>12972.972972972973</v>
      </c>
      <c r="I57" s="1">
        <f t="shared" si="20"/>
        <v>13806.706114398421</v>
      </c>
      <c r="J57" s="1">
        <f t="shared" si="21"/>
        <v>4854.3689320388348</v>
      </c>
      <c r="K57" s="1">
        <f t="shared" si="22"/>
        <v>31719.322908563143</v>
      </c>
      <c r="L57" s="45">
        <f t="shared" si="23"/>
        <v>14.257743555831174</v>
      </c>
      <c r="M57" s="47">
        <f t="shared" si="24"/>
        <v>7.83566590290551</v>
      </c>
    </row>
    <row r="58" spans="1:13" x14ac:dyDescent="0.25">
      <c r="A58" s="40">
        <f t="shared" si="25"/>
        <v>395</v>
      </c>
      <c r="B58" s="1" t="e">
        <f t="shared" si="13"/>
        <v>#N/A</v>
      </c>
      <c r="C58" s="1" t="e">
        <f t="shared" si="14"/>
        <v>#N/A</v>
      </c>
      <c r="D58" s="1" t="e">
        <f t="shared" si="15"/>
        <v>#N/A</v>
      </c>
      <c r="E58" s="1" t="e">
        <f t="shared" si="16"/>
        <v>#N/A</v>
      </c>
      <c r="F58" s="45" t="e">
        <f t="shared" si="17"/>
        <v>#N/A</v>
      </c>
      <c r="G58" s="47" t="e">
        <f t="shared" si="18"/>
        <v>#N/A</v>
      </c>
      <c r="H58" s="1">
        <f t="shared" si="19"/>
        <v>12824.427480916031</v>
      </c>
      <c r="I58" s="1">
        <f t="shared" si="20"/>
        <v>13459.381509373496</v>
      </c>
      <c r="J58" s="1">
        <f t="shared" si="21"/>
        <v>4807.6923076923076</v>
      </c>
      <c r="K58" s="1">
        <f t="shared" si="22"/>
        <v>31129.410003477995</v>
      </c>
      <c r="L58" s="45">
        <f t="shared" si="23"/>
        <v>13.992579417705491</v>
      </c>
      <c r="M58" s="47">
        <f t="shared" si="24"/>
        <v>7.6899389449441298</v>
      </c>
    </row>
    <row r="59" spans="1:13" x14ac:dyDescent="0.25">
      <c r="A59" s="40">
        <f t="shared" si="25"/>
        <v>400</v>
      </c>
      <c r="B59" s="1" t="e">
        <f t="shared" si="13"/>
        <v>#N/A</v>
      </c>
      <c r="C59" s="1" t="e">
        <f t="shared" si="14"/>
        <v>#N/A</v>
      </c>
      <c r="D59" s="1" t="e">
        <f t="shared" si="15"/>
        <v>#N/A</v>
      </c>
      <c r="E59" s="1" t="e">
        <f t="shared" si="16"/>
        <v>#N/A</v>
      </c>
      <c r="F59" s="45" t="e">
        <f t="shared" si="17"/>
        <v>#N/A</v>
      </c>
      <c r="G59" s="47" t="e">
        <f t="shared" si="18"/>
        <v>#N/A</v>
      </c>
      <c r="H59" s="1">
        <f t="shared" si="19"/>
        <v>12679.245283018869</v>
      </c>
      <c r="I59" s="1">
        <f t="shared" si="20"/>
        <v>13124.999999999998</v>
      </c>
      <c r="J59" s="1">
        <f t="shared" si="21"/>
        <v>4761.9047619047615</v>
      </c>
      <c r="K59" s="1">
        <f t="shared" si="22"/>
        <v>30559.964504718813</v>
      </c>
      <c r="L59" s="45">
        <f t="shared" si="23"/>
        <v>13.736615319299757</v>
      </c>
      <c r="M59" s="47">
        <f t="shared" si="24"/>
        <v>7.549268077187814</v>
      </c>
    </row>
    <row r="60" spans="1:13" x14ac:dyDescent="0.25">
      <c r="A60" s="40">
        <f t="shared" si="25"/>
        <v>405</v>
      </c>
      <c r="B60" s="1" t="e">
        <f t="shared" si="13"/>
        <v>#N/A</v>
      </c>
      <c r="C60" s="1" t="e">
        <f t="shared" si="14"/>
        <v>#N/A</v>
      </c>
      <c r="D60" s="1" t="e">
        <f t="shared" si="15"/>
        <v>#N/A</v>
      </c>
      <c r="E60" s="1" t="e">
        <f t="shared" si="16"/>
        <v>#N/A</v>
      </c>
      <c r="F60" s="45" t="e">
        <f t="shared" si="17"/>
        <v>#N/A</v>
      </c>
      <c r="G60" s="47" t="e">
        <f t="shared" si="18"/>
        <v>#N/A</v>
      </c>
      <c r="H60" s="1">
        <f t="shared" si="19"/>
        <v>12537.313432835823</v>
      </c>
      <c r="I60" s="1">
        <f t="shared" si="20"/>
        <v>12802.926383173295</v>
      </c>
      <c r="J60" s="1">
        <f t="shared" si="21"/>
        <v>4716.9811320754716</v>
      </c>
      <c r="K60" s="1">
        <f t="shared" si="22"/>
        <v>30010.004766225011</v>
      </c>
      <c r="L60" s="45">
        <f t="shared" si="23"/>
        <v>13.489410013559771</v>
      </c>
      <c r="M60" s="47">
        <f t="shared" si="24"/>
        <v>7.4134108023238738</v>
      </c>
    </row>
    <row r="61" spans="1:13" x14ac:dyDescent="0.25">
      <c r="A61" s="40">
        <f t="shared" si="25"/>
        <v>410</v>
      </c>
      <c r="B61" s="1" t="e">
        <f t="shared" si="13"/>
        <v>#N/A</v>
      </c>
      <c r="C61" s="1" t="e">
        <f t="shared" si="14"/>
        <v>#N/A</v>
      </c>
      <c r="D61" s="1" t="e">
        <f t="shared" si="15"/>
        <v>#N/A</v>
      </c>
      <c r="E61" s="1" t="e">
        <f t="shared" si="16"/>
        <v>#N/A</v>
      </c>
      <c r="F61" s="45" t="e">
        <f t="shared" si="17"/>
        <v>#N/A</v>
      </c>
      <c r="G61" s="47" t="e">
        <f t="shared" si="18"/>
        <v>#N/A</v>
      </c>
      <c r="H61" s="1">
        <f t="shared" si="19"/>
        <v>12398.523985239852</v>
      </c>
      <c r="I61" s="1">
        <f t="shared" si="20"/>
        <v>12492.563950029742</v>
      </c>
      <c r="J61" s="1">
        <f t="shared" si="21"/>
        <v>4672.8971962616815</v>
      </c>
      <c r="K61" s="1">
        <f t="shared" si="22"/>
        <v>29478.60799000386</v>
      </c>
      <c r="L61" s="45">
        <f t="shared" si="23"/>
        <v>13.250548705466995</v>
      </c>
      <c r="M61" s="47">
        <f t="shared" si="24"/>
        <v>7.282139160354939</v>
      </c>
    </row>
    <row r="62" spans="1:13" x14ac:dyDescent="0.25">
      <c r="A62" s="40">
        <f t="shared" si="25"/>
        <v>415</v>
      </c>
      <c r="B62" s="1" t="e">
        <f t="shared" si="13"/>
        <v>#N/A</v>
      </c>
      <c r="C62" s="1" t="e">
        <f t="shared" si="14"/>
        <v>#N/A</v>
      </c>
      <c r="D62" s="1" t="e">
        <f t="shared" si="15"/>
        <v>#N/A</v>
      </c>
      <c r="E62" s="1" t="e">
        <f t="shared" si="16"/>
        <v>#N/A</v>
      </c>
      <c r="F62" s="45" t="e">
        <f t="shared" si="17"/>
        <v>#N/A</v>
      </c>
      <c r="G62" s="47" t="e">
        <f t="shared" si="18"/>
        <v>#N/A</v>
      </c>
      <c r="H62" s="1">
        <f t="shared" si="19"/>
        <v>12262.773722627739</v>
      </c>
      <c r="I62" s="1">
        <f t="shared" si="20"/>
        <v>12193.351720133545</v>
      </c>
      <c r="J62" s="1">
        <f t="shared" si="21"/>
        <v>4629.6296296296296</v>
      </c>
      <c r="K62" s="1">
        <f t="shared" si="22"/>
        <v>28964.906025820474</v>
      </c>
      <c r="L62" s="45">
        <f t="shared" si="23"/>
        <v>13.019641164011365</v>
      </c>
      <c r="M62" s="47">
        <f t="shared" si="24"/>
        <v>7.1552386909908625</v>
      </c>
    </row>
    <row r="63" spans="1:13" x14ac:dyDescent="0.25">
      <c r="A63" s="40">
        <f t="shared" si="25"/>
        <v>420</v>
      </c>
      <c r="B63" s="1" t="e">
        <f t="shared" si="13"/>
        <v>#N/A</v>
      </c>
      <c r="C63" s="1" t="e">
        <f t="shared" si="14"/>
        <v>#N/A</v>
      </c>
      <c r="D63" s="1" t="e">
        <f t="shared" si="15"/>
        <v>#N/A</v>
      </c>
      <c r="E63" s="1" t="e">
        <f t="shared" si="16"/>
        <v>#N/A</v>
      </c>
      <c r="F63" s="45" t="e">
        <f t="shared" si="17"/>
        <v>#N/A</v>
      </c>
      <c r="G63" s="47" t="e">
        <f t="shared" si="18"/>
        <v>#N/A</v>
      </c>
      <c r="H63" s="1">
        <f t="shared" si="19"/>
        <v>12129.963898916967</v>
      </c>
      <c r="I63" s="1">
        <f t="shared" si="20"/>
        <v>11904.761904761906</v>
      </c>
      <c r="J63" s="1">
        <f t="shared" si="21"/>
        <v>4587.1559633027518</v>
      </c>
      <c r="K63" s="1">
        <f t="shared" si="22"/>
        <v>28468.081517303937</v>
      </c>
      <c r="L63" s="45">
        <f t="shared" si="23"/>
        <v>12.796319989877215</v>
      </c>
      <c r="M63" s="47">
        <f t="shared" si="24"/>
        <v>7.0325074816162809</v>
      </c>
    </row>
    <row r="64" spans="1:13" x14ac:dyDescent="0.25">
      <c r="A64" s="65">
        <f t="shared" si="25"/>
        <v>425</v>
      </c>
      <c r="B64" s="98" t="e">
        <f t="shared" si="13"/>
        <v>#N/A</v>
      </c>
      <c r="C64" s="98" t="e">
        <f t="shared" si="14"/>
        <v>#N/A</v>
      </c>
      <c r="D64" s="98" t="e">
        <f t="shared" si="15"/>
        <v>#N/A</v>
      </c>
      <c r="E64" s="98" t="e">
        <f t="shared" si="16"/>
        <v>#N/A</v>
      </c>
      <c r="F64" s="99" t="e">
        <f t="shared" si="17"/>
        <v>#N/A</v>
      </c>
      <c r="G64" s="100" t="e">
        <f t="shared" si="18"/>
        <v>#N/A</v>
      </c>
      <c r="H64" s="98">
        <f t="shared" si="19"/>
        <v>12000</v>
      </c>
      <c r="I64" s="98">
        <f t="shared" si="20"/>
        <v>11626.297577854673</v>
      </c>
      <c r="J64" s="98">
        <f t="shared" si="21"/>
        <v>4545.454545454545</v>
      </c>
      <c r="K64" s="98">
        <f t="shared" si="22"/>
        <v>27987.364362150453</v>
      </c>
      <c r="L64" s="99">
        <f t="shared" si="23"/>
        <v>12.580239024314839</v>
      </c>
      <c r="M64" s="100">
        <f t="shared" si="24"/>
        <v>6.9137552928499497</v>
      </c>
    </row>
    <row r="65" spans="1:13" x14ac:dyDescent="0.25">
      <c r="A65" s="40">
        <f t="shared" si="25"/>
        <v>430</v>
      </c>
      <c r="B65" s="1" t="e">
        <f t="shared" si="13"/>
        <v>#N/A</v>
      </c>
      <c r="C65" s="1" t="e">
        <f t="shared" si="14"/>
        <v>#N/A</v>
      </c>
      <c r="D65" s="1" t="e">
        <f t="shared" si="15"/>
        <v>#N/A</v>
      </c>
      <c r="E65" s="1" t="e">
        <f t="shared" si="16"/>
        <v>#N/A</v>
      </c>
      <c r="F65" s="45" t="e">
        <f t="shared" si="17"/>
        <v>#N/A</v>
      </c>
      <c r="G65" s="47" t="e">
        <f t="shared" si="18"/>
        <v>#N/A</v>
      </c>
      <c r="H65" s="1">
        <f t="shared" si="19"/>
        <v>11872.791519434628</v>
      </c>
      <c r="I65" s="1">
        <f t="shared" si="20"/>
        <v>11357.490535424555</v>
      </c>
      <c r="J65" s="1">
        <f t="shared" si="21"/>
        <v>4504.5045045045044</v>
      </c>
      <c r="K65" s="1">
        <f t="shared" si="22"/>
        <v>27522.028457460314</v>
      </c>
      <c r="L65" s="45">
        <f t="shared" si="23"/>
        <v>12.371071886178937</v>
      </c>
      <c r="M65" s="47">
        <f t="shared" si="24"/>
        <v>6.7988027545410743</v>
      </c>
    </row>
    <row r="66" spans="1:13" x14ac:dyDescent="0.25">
      <c r="A66" s="40" t="e">
        <f t="shared" si="25"/>
        <v>#N/A</v>
      </c>
      <c r="B66" s="1" t="e">
        <f t="shared" si="13"/>
        <v>#N/A</v>
      </c>
      <c r="C66" s="1" t="e">
        <f t="shared" si="14"/>
        <v>#N/A</v>
      </c>
      <c r="D66" s="1" t="e">
        <f t="shared" si="15"/>
        <v>#N/A</v>
      </c>
      <c r="E66" s="1" t="e">
        <f t="shared" si="16"/>
        <v>#N/A</v>
      </c>
      <c r="F66" s="45" t="e">
        <f t="shared" si="17"/>
        <v>#N/A</v>
      </c>
      <c r="G66" s="47" t="e">
        <f t="shared" si="18"/>
        <v>#N/A</v>
      </c>
      <c r="H66" s="1" t="e">
        <f t="shared" si="19"/>
        <v>#N/A</v>
      </c>
      <c r="I66" s="1" t="e">
        <f t="shared" si="20"/>
        <v>#N/A</v>
      </c>
      <c r="J66" s="1" t="e">
        <f t="shared" si="21"/>
        <v>#N/A</v>
      </c>
      <c r="K66" s="1" t="e">
        <f t="shared" si="22"/>
        <v>#N/A</v>
      </c>
      <c r="L66" s="45" t="e">
        <f t="shared" si="23"/>
        <v>#N/A</v>
      </c>
      <c r="M66" s="47" t="e">
        <f t="shared" si="24"/>
        <v>#N/A</v>
      </c>
    </row>
    <row r="67" spans="1:13" x14ac:dyDescent="0.25">
      <c r="A67" s="40" t="e">
        <f t="shared" si="25"/>
        <v>#N/A</v>
      </c>
      <c r="B67" s="1" t="e">
        <f t="shared" si="13"/>
        <v>#N/A</v>
      </c>
      <c r="C67" s="1" t="e">
        <f t="shared" si="14"/>
        <v>#N/A</v>
      </c>
      <c r="D67" s="1" t="e">
        <f t="shared" si="15"/>
        <v>#N/A</v>
      </c>
      <c r="E67" s="1" t="e">
        <f t="shared" si="16"/>
        <v>#N/A</v>
      </c>
      <c r="F67" s="45" t="e">
        <f t="shared" si="17"/>
        <v>#N/A</v>
      </c>
      <c r="G67" s="47" t="e">
        <f t="shared" si="18"/>
        <v>#N/A</v>
      </c>
      <c r="H67" s="1" t="e">
        <f t="shared" si="19"/>
        <v>#N/A</v>
      </c>
      <c r="I67" s="1" t="e">
        <f t="shared" si="20"/>
        <v>#N/A</v>
      </c>
      <c r="J67" s="1" t="e">
        <f t="shared" si="21"/>
        <v>#N/A</v>
      </c>
      <c r="K67" s="1" t="e">
        <f t="shared" si="22"/>
        <v>#N/A</v>
      </c>
      <c r="L67" s="45" t="e">
        <f t="shared" si="23"/>
        <v>#N/A</v>
      </c>
      <c r="M67" s="47" t="e">
        <f t="shared" si="24"/>
        <v>#N/A</v>
      </c>
    </row>
    <row r="68" spans="1:13" x14ac:dyDescent="0.25">
      <c r="A68" s="40" t="e">
        <f t="shared" si="25"/>
        <v>#N/A</v>
      </c>
      <c r="B68" s="1" t="e">
        <f t="shared" ref="B68:B99" si="26">IF(Load_Case=1,(6*FL_SUS*H_STRC)/((0.001*L_STRC)^2+(6*A68*L_STRC*0.000001)),NA())</f>
        <v>#N/A</v>
      </c>
      <c r="C68" s="1" t="e">
        <f t="shared" ref="C68:C99" si="27">IF(Load_Case=1,(3*FC_SUS*H_STRC)/((A68*0.001)^2),NA())</f>
        <v>#N/A</v>
      </c>
      <c r="D68" s="1" t="e">
        <f t="shared" ref="D68:D99" si="28">IF(Load_Case=1,FA_SUS*1000/((L_STRC+2*A68)*0.001),NA())</f>
        <v>#N/A</v>
      </c>
      <c r="E68" s="1" t="e">
        <f t="shared" ref="E68:E99" si="29">1.5*D68+SQRT((B68^2+(1.5*C68)^2))</f>
        <v>#N/A</v>
      </c>
      <c r="F68" s="45" t="e">
        <f t="shared" ref="F68:F99" si="30">IF(SL_STRC,(1.17*E68*SQRT(0.5*D*0.001))*0.000001/((tnet_STRC*0.001)^1.5),NA())</f>
        <v>#N/A</v>
      </c>
      <c r="G68" s="47" t="e">
        <f t="shared" ref="G68:G99" si="31">IF(SC_STRC,(0.643*E68*SQRT((D*0.5)*0.001))*0.000001/((tnet_STRC*0.001)^1.5),NA())</f>
        <v>#N/A</v>
      </c>
      <c r="H68" s="1" t="e">
        <f t="shared" ref="H68:H99" si="32">IF(Load_Case=2,(6*FL_EXP*H_STRC)/((0.001*L_STRC)^2+(6*A68*L_STRC*0.000001)),NA())</f>
        <v>#N/A</v>
      </c>
      <c r="I68" s="1" t="e">
        <f t="shared" ref="I68:I99" si="33">IF(Load_Case=2,(3*FC_EXP*H_STRC)/((A68*0.001)^2),NA())</f>
        <v>#N/A</v>
      </c>
      <c r="J68" s="1" t="e">
        <f t="shared" ref="J68:J99" si="34">IF(Load_Case=2,FA_EXP*1000/((L_STRC+2*A68)*0.001),NA())</f>
        <v>#N/A</v>
      </c>
      <c r="K68" s="1" t="e">
        <f t="shared" ref="K68:K99" si="35">1.5*J68+SQRT((H68^2+(1.5*I68)^2))</f>
        <v>#N/A</v>
      </c>
      <c r="L68" s="45" t="e">
        <f t="shared" ref="L68:L99" si="36">IF(SL_STRC,(1.17*K68*SQRT(0.5*D*0.001))*0.000001/((tnet_STRC*0.001)^1.5),NA())</f>
        <v>#N/A</v>
      </c>
      <c r="M68" s="47" t="e">
        <f t="shared" ref="M68:M99" si="37">IF(SC_STRC,(0.643*K68*SQRT((D*0.5)*0.001))*0.000001/((tnet_STRC*0.001)^1.5),NA())</f>
        <v>#N/A</v>
      </c>
    </row>
    <row r="69" spans="1:13" x14ac:dyDescent="0.25">
      <c r="A69" s="40" t="e">
        <f t="shared" ref="A69:A100" si="38">IF((A68+W_STRC_Increment)&gt;Max_STRC_W,NA(),A68+W_STRC_Increment)</f>
        <v>#N/A</v>
      </c>
      <c r="B69" s="1" t="e">
        <f t="shared" si="26"/>
        <v>#N/A</v>
      </c>
      <c r="C69" s="1" t="e">
        <f t="shared" si="27"/>
        <v>#N/A</v>
      </c>
      <c r="D69" s="1" t="e">
        <f t="shared" si="28"/>
        <v>#N/A</v>
      </c>
      <c r="E69" s="1" t="e">
        <f t="shared" si="29"/>
        <v>#N/A</v>
      </c>
      <c r="F69" s="45" t="e">
        <f t="shared" si="30"/>
        <v>#N/A</v>
      </c>
      <c r="G69" s="47" t="e">
        <f t="shared" si="31"/>
        <v>#N/A</v>
      </c>
      <c r="H69" s="1" t="e">
        <f t="shared" si="32"/>
        <v>#N/A</v>
      </c>
      <c r="I69" s="1" t="e">
        <f t="shared" si="33"/>
        <v>#N/A</v>
      </c>
      <c r="J69" s="1" t="e">
        <f t="shared" si="34"/>
        <v>#N/A</v>
      </c>
      <c r="K69" s="1" t="e">
        <f t="shared" si="35"/>
        <v>#N/A</v>
      </c>
      <c r="L69" s="45" t="e">
        <f t="shared" si="36"/>
        <v>#N/A</v>
      </c>
      <c r="M69" s="47" t="e">
        <f t="shared" si="37"/>
        <v>#N/A</v>
      </c>
    </row>
    <row r="70" spans="1:13" x14ac:dyDescent="0.25">
      <c r="A70" s="40" t="e">
        <f t="shared" si="38"/>
        <v>#N/A</v>
      </c>
      <c r="B70" s="1" t="e">
        <f t="shared" si="26"/>
        <v>#N/A</v>
      </c>
      <c r="C70" s="1" t="e">
        <f t="shared" si="27"/>
        <v>#N/A</v>
      </c>
      <c r="D70" s="1" t="e">
        <f t="shared" si="28"/>
        <v>#N/A</v>
      </c>
      <c r="E70" s="1" t="e">
        <f t="shared" si="29"/>
        <v>#N/A</v>
      </c>
      <c r="F70" s="45" t="e">
        <f t="shared" si="30"/>
        <v>#N/A</v>
      </c>
      <c r="G70" s="47" t="e">
        <f t="shared" si="31"/>
        <v>#N/A</v>
      </c>
      <c r="H70" s="1" t="e">
        <f t="shared" si="32"/>
        <v>#N/A</v>
      </c>
      <c r="I70" s="1" t="e">
        <f t="shared" si="33"/>
        <v>#N/A</v>
      </c>
      <c r="J70" s="1" t="e">
        <f t="shared" si="34"/>
        <v>#N/A</v>
      </c>
      <c r="K70" s="1" t="e">
        <f t="shared" si="35"/>
        <v>#N/A</v>
      </c>
      <c r="L70" s="45" t="e">
        <f t="shared" si="36"/>
        <v>#N/A</v>
      </c>
      <c r="M70" s="47" t="e">
        <f t="shared" si="37"/>
        <v>#N/A</v>
      </c>
    </row>
    <row r="71" spans="1:13" x14ac:dyDescent="0.25">
      <c r="A71" s="40" t="e">
        <f t="shared" si="38"/>
        <v>#N/A</v>
      </c>
      <c r="B71" s="1" t="e">
        <f t="shared" si="26"/>
        <v>#N/A</v>
      </c>
      <c r="C71" s="1" t="e">
        <f t="shared" si="27"/>
        <v>#N/A</v>
      </c>
      <c r="D71" s="1" t="e">
        <f t="shared" si="28"/>
        <v>#N/A</v>
      </c>
      <c r="E71" s="1" t="e">
        <f t="shared" si="29"/>
        <v>#N/A</v>
      </c>
      <c r="F71" s="45" t="e">
        <f t="shared" si="30"/>
        <v>#N/A</v>
      </c>
      <c r="G71" s="47" t="e">
        <f t="shared" si="31"/>
        <v>#N/A</v>
      </c>
      <c r="H71" s="1" t="e">
        <f t="shared" si="32"/>
        <v>#N/A</v>
      </c>
      <c r="I71" s="1" t="e">
        <f t="shared" si="33"/>
        <v>#N/A</v>
      </c>
      <c r="J71" s="1" t="e">
        <f t="shared" si="34"/>
        <v>#N/A</v>
      </c>
      <c r="K71" s="1" t="e">
        <f t="shared" si="35"/>
        <v>#N/A</v>
      </c>
      <c r="L71" s="45" t="e">
        <f t="shared" si="36"/>
        <v>#N/A</v>
      </c>
      <c r="M71" s="47" t="e">
        <f t="shared" si="37"/>
        <v>#N/A</v>
      </c>
    </row>
    <row r="72" spans="1:13" x14ac:dyDescent="0.25">
      <c r="A72" s="40" t="e">
        <f t="shared" si="38"/>
        <v>#N/A</v>
      </c>
      <c r="B72" s="1" t="e">
        <f t="shared" si="26"/>
        <v>#N/A</v>
      </c>
      <c r="C72" s="1" t="e">
        <f t="shared" si="27"/>
        <v>#N/A</v>
      </c>
      <c r="D72" s="1" t="e">
        <f t="shared" si="28"/>
        <v>#N/A</v>
      </c>
      <c r="E72" s="1" t="e">
        <f t="shared" si="29"/>
        <v>#N/A</v>
      </c>
      <c r="F72" s="45" t="e">
        <f t="shared" si="30"/>
        <v>#N/A</v>
      </c>
      <c r="G72" s="47" t="e">
        <f t="shared" si="31"/>
        <v>#N/A</v>
      </c>
      <c r="H72" s="1" t="e">
        <f t="shared" si="32"/>
        <v>#N/A</v>
      </c>
      <c r="I72" s="1" t="e">
        <f t="shared" si="33"/>
        <v>#N/A</v>
      </c>
      <c r="J72" s="1" t="e">
        <f t="shared" si="34"/>
        <v>#N/A</v>
      </c>
      <c r="K72" s="1" t="e">
        <f t="shared" si="35"/>
        <v>#N/A</v>
      </c>
      <c r="L72" s="45" t="e">
        <f t="shared" si="36"/>
        <v>#N/A</v>
      </c>
      <c r="M72" s="47" t="e">
        <f t="shared" si="37"/>
        <v>#N/A</v>
      </c>
    </row>
    <row r="73" spans="1:13" x14ac:dyDescent="0.25">
      <c r="A73" s="40" t="e">
        <f t="shared" si="38"/>
        <v>#N/A</v>
      </c>
      <c r="B73" s="1" t="e">
        <f t="shared" si="26"/>
        <v>#N/A</v>
      </c>
      <c r="C73" s="1" t="e">
        <f t="shared" si="27"/>
        <v>#N/A</v>
      </c>
      <c r="D73" s="1" t="e">
        <f t="shared" si="28"/>
        <v>#N/A</v>
      </c>
      <c r="E73" s="1" t="e">
        <f t="shared" si="29"/>
        <v>#N/A</v>
      </c>
      <c r="F73" s="45" t="e">
        <f t="shared" si="30"/>
        <v>#N/A</v>
      </c>
      <c r="G73" s="47" t="e">
        <f t="shared" si="31"/>
        <v>#N/A</v>
      </c>
      <c r="H73" s="1" t="e">
        <f t="shared" si="32"/>
        <v>#N/A</v>
      </c>
      <c r="I73" s="1" t="e">
        <f t="shared" si="33"/>
        <v>#N/A</v>
      </c>
      <c r="J73" s="1" t="e">
        <f t="shared" si="34"/>
        <v>#N/A</v>
      </c>
      <c r="K73" s="1" t="e">
        <f t="shared" si="35"/>
        <v>#N/A</v>
      </c>
      <c r="L73" s="45" t="e">
        <f t="shared" si="36"/>
        <v>#N/A</v>
      </c>
      <c r="M73" s="47" t="e">
        <f t="shared" si="37"/>
        <v>#N/A</v>
      </c>
    </row>
    <row r="74" spans="1:13" x14ac:dyDescent="0.25">
      <c r="A74" s="40" t="e">
        <f t="shared" si="38"/>
        <v>#N/A</v>
      </c>
      <c r="B74" s="1" t="e">
        <f t="shared" si="26"/>
        <v>#N/A</v>
      </c>
      <c r="C74" s="1" t="e">
        <f t="shared" si="27"/>
        <v>#N/A</v>
      </c>
      <c r="D74" s="1" t="e">
        <f t="shared" si="28"/>
        <v>#N/A</v>
      </c>
      <c r="E74" s="1" t="e">
        <f t="shared" si="29"/>
        <v>#N/A</v>
      </c>
      <c r="F74" s="45" t="e">
        <f t="shared" si="30"/>
        <v>#N/A</v>
      </c>
      <c r="G74" s="47" t="e">
        <f t="shared" si="31"/>
        <v>#N/A</v>
      </c>
      <c r="H74" s="1" t="e">
        <f t="shared" si="32"/>
        <v>#N/A</v>
      </c>
      <c r="I74" s="1" t="e">
        <f t="shared" si="33"/>
        <v>#N/A</v>
      </c>
      <c r="J74" s="1" t="e">
        <f t="shared" si="34"/>
        <v>#N/A</v>
      </c>
      <c r="K74" s="1" t="e">
        <f t="shared" si="35"/>
        <v>#N/A</v>
      </c>
      <c r="L74" s="45" t="e">
        <f t="shared" si="36"/>
        <v>#N/A</v>
      </c>
      <c r="M74" s="47" t="e">
        <f t="shared" si="37"/>
        <v>#N/A</v>
      </c>
    </row>
    <row r="75" spans="1:13" x14ac:dyDescent="0.25">
      <c r="A75" s="40" t="e">
        <f t="shared" si="38"/>
        <v>#N/A</v>
      </c>
      <c r="B75" s="1" t="e">
        <f t="shared" si="26"/>
        <v>#N/A</v>
      </c>
      <c r="C75" s="1" t="e">
        <f t="shared" si="27"/>
        <v>#N/A</v>
      </c>
      <c r="D75" s="1" t="e">
        <f t="shared" si="28"/>
        <v>#N/A</v>
      </c>
      <c r="E75" s="1" t="e">
        <f t="shared" si="29"/>
        <v>#N/A</v>
      </c>
      <c r="F75" s="45" t="e">
        <f t="shared" si="30"/>
        <v>#N/A</v>
      </c>
      <c r="G75" s="47" t="e">
        <f t="shared" si="31"/>
        <v>#N/A</v>
      </c>
      <c r="H75" s="1" t="e">
        <f t="shared" si="32"/>
        <v>#N/A</v>
      </c>
      <c r="I75" s="1" t="e">
        <f t="shared" si="33"/>
        <v>#N/A</v>
      </c>
      <c r="J75" s="1" t="e">
        <f t="shared" si="34"/>
        <v>#N/A</v>
      </c>
      <c r="K75" s="1" t="e">
        <f t="shared" si="35"/>
        <v>#N/A</v>
      </c>
      <c r="L75" s="45" t="e">
        <f t="shared" si="36"/>
        <v>#N/A</v>
      </c>
      <c r="M75" s="47" t="e">
        <f t="shared" si="37"/>
        <v>#N/A</v>
      </c>
    </row>
    <row r="76" spans="1:13" x14ac:dyDescent="0.25">
      <c r="A76" s="40" t="e">
        <f t="shared" si="38"/>
        <v>#N/A</v>
      </c>
      <c r="B76" s="1" t="e">
        <f t="shared" si="26"/>
        <v>#N/A</v>
      </c>
      <c r="C76" s="1" t="e">
        <f t="shared" si="27"/>
        <v>#N/A</v>
      </c>
      <c r="D76" s="1" t="e">
        <f t="shared" si="28"/>
        <v>#N/A</v>
      </c>
      <c r="E76" s="1" t="e">
        <f t="shared" si="29"/>
        <v>#N/A</v>
      </c>
      <c r="F76" s="45" t="e">
        <f t="shared" si="30"/>
        <v>#N/A</v>
      </c>
      <c r="G76" s="47" t="e">
        <f t="shared" si="31"/>
        <v>#N/A</v>
      </c>
      <c r="H76" s="1" t="e">
        <f t="shared" si="32"/>
        <v>#N/A</v>
      </c>
      <c r="I76" s="1" t="e">
        <f t="shared" si="33"/>
        <v>#N/A</v>
      </c>
      <c r="J76" s="1" t="e">
        <f t="shared" si="34"/>
        <v>#N/A</v>
      </c>
      <c r="K76" s="1" t="e">
        <f t="shared" si="35"/>
        <v>#N/A</v>
      </c>
      <c r="L76" s="45" t="e">
        <f t="shared" si="36"/>
        <v>#N/A</v>
      </c>
      <c r="M76" s="47" t="e">
        <f t="shared" si="37"/>
        <v>#N/A</v>
      </c>
    </row>
    <row r="77" spans="1:13" x14ac:dyDescent="0.25">
      <c r="A77" s="40" t="e">
        <f t="shared" si="38"/>
        <v>#N/A</v>
      </c>
      <c r="B77" s="1" t="e">
        <f t="shared" si="26"/>
        <v>#N/A</v>
      </c>
      <c r="C77" s="1" t="e">
        <f t="shared" si="27"/>
        <v>#N/A</v>
      </c>
      <c r="D77" s="1" t="e">
        <f t="shared" si="28"/>
        <v>#N/A</v>
      </c>
      <c r="E77" s="1" t="e">
        <f t="shared" si="29"/>
        <v>#N/A</v>
      </c>
      <c r="F77" s="45" t="e">
        <f t="shared" si="30"/>
        <v>#N/A</v>
      </c>
      <c r="G77" s="47" t="e">
        <f t="shared" si="31"/>
        <v>#N/A</v>
      </c>
      <c r="H77" s="1" t="e">
        <f t="shared" si="32"/>
        <v>#N/A</v>
      </c>
      <c r="I77" s="1" t="e">
        <f t="shared" si="33"/>
        <v>#N/A</v>
      </c>
      <c r="J77" s="1" t="e">
        <f t="shared" si="34"/>
        <v>#N/A</v>
      </c>
      <c r="K77" s="1" t="e">
        <f t="shared" si="35"/>
        <v>#N/A</v>
      </c>
      <c r="L77" s="45" t="e">
        <f t="shared" si="36"/>
        <v>#N/A</v>
      </c>
      <c r="M77" s="47" t="e">
        <f t="shared" si="37"/>
        <v>#N/A</v>
      </c>
    </row>
    <row r="78" spans="1:13" x14ac:dyDescent="0.25">
      <c r="A78" s="40" t="e">
        <f t="shared" si="38"/>
        <v>#N/A</v>
      </c>
      <c r="B78" s="1" t="e">
        <f t="shared" si="26"/>
        <v>#N/A</v>
      </c>
      <c r="C78" s="1" t="e">
        <f t="shared" si="27"/>
        <v>#N/A</v>
      </c>
      <c r="D78" s="1" t="e">
        <f t="shared" si="28"/>
        <v>#N/A</v>
      </c>
      <c r="E78" s="1" t="e">
        <f t="shared" si="29"/>
        <v>#N/A</v>
      </c>
      <c r="F78" s="45" t="e">
        <f t="shared" si="30"/>
        <v>#N/A</v>
      </c>
      <c r="G78" s="47" t="e">
        <f t="shared" si="31"/>
        <v>#N/A</v>
      </c>
      <c r="H78" s="1" t="e">
        <f t="shared" si="32"/>
        <v>#N/A</v>
      </c>
      <c r="I78" s="1" t="e">
        <f t="shared" si="33"/>
        <v>#N/A</v>
      </c>
      <c r="J78" s="1" t="e">
        <f t="shared" si="34"/>
        <v>#N/A</v>
      </c>
      <c r="K78" s="1" t="e">
        <f t="shared" si="35"/>
        <v>#N/A</v>
      </c>
      <c r="L78" s="45" t="e">
        <f t="shared" si="36"/>
        <v>#N/A</v>
      </c>
      <c r="M78" s="47" t="e">
        <f t="shared" si="37"/>
        <v>#N/A</v>
      </c>
    </row>
    <row r="79" spans="1:13" x14ac:dyDescent="0.25">
      <c r="A79" s="40" t="e">
        <f t="shared" si="38"/>
        <v>#N/A</v>
      </c>
      <c r="B79" s="1" t="e">
        <f t="shared" si="26"/>
        <v>#N/A</v>
      </c>
      <c r="C79" s="1" t="e">
        <f t="shared" si="27"/>
        <v>#N/A</v>
      </c>
      <c r="D79" s="1" t="e">
        <f t="shared" si="28"/>
        <v>#N/A</v>
      </c>
      <c r="E79" s="1" t="e">
        <f t="shared" si="29"/>
        <v>#N/A</v>
      </c>
      <c r="F79" s="45" t="e">
        <f t="shared" si="30"/>
        <v>#N/A</v>
      </c>
      <c r="G79" s="47" t="e">
        <f t="shared" si="31"/>
        <v>#N/A</v>
      </c>
      <c r="H79" s="1" t="e">
        <f t="shared" si="32"/>
        <v>#N/A</v>
      </c>
      <c r="I79" s="1" t="e">
        <f t="shared" si="33"/>
        <v>#N/A</v>
      </c>
      <c r="J79" s="1" t="e">
        <f t="shared" si="34"/>
        <v>#N/A</v>
      </c>
      <c r="K79" s="1" t="e">
        <f t="shared" si="35"/>
        <v>#N/A</v>
      </c>
      <c r="L79" s="45" t="e">
        <f t="shared" si="36"/>
        <v>#N/A</v>
      </c>
      <c r="M79" s="47" t="e">
        <f t="shared" si="37"/>
        <v>#N/A</v>
      </c>
    </row>
    <row r="80" spans="1:13" x14ac:dyDescent="0.25">
      <c r="A80" s="40" t="e">
        <f t="shared" si="38"/>
        <v>#N/A</v>
      </c>
      <c r="B80" s="1" t="e">
        <f t="shared" si="26"/>
        <v>#N/A</v>
      </c>
      <c r="C80" s="1" t="e">
        <f t="shared" si="27"/>
        <v>#N/A</v>
      </c>
      <c r="D80" s="1" t="e">
        <f t="shared" si="28"/>
        <v>#N/A</v>
      </c>
      <c r="E80" s="1" t="e">
        <f t="shared" si="29"/>
        <v>#N/A</v>
      </c>
      <c r="F80" s="45" t="e">
        <f t="shared" si="30"/>
        <v>#N/A</v>
      </c>
      <c r="G80" s="47" t="e">
        <f t="shared" si="31"/>
        <v>#N/A</v>
      </c>
      <c r="H80" s="1" t="e">
        <f t="shared" si="32"/>
        <v>#N/A</v>
      </c>
      <c r="I80" s="1" t="e">
        <f t="shared" si="33"/>
        <v>#N/A</v>
      </c>
      <c r="J80" s="1" t="e">
        <f t="shared" si="34"/>
        <v>#N/A</v>
      </c>
      <c r="K80" s="1" t="e">
        <f t="shared" si="35"/>
        <v>#N/A</v>
      </c>
      <c r="L80" s="45" t="e">
        <f t="shared" si="36"/>
        <v>#N/A</v>
      </c>
      <c r="M80" s="47" t="e">
        <f t="shared" si="37"/>
        <v>#N/A</v>
      </c>
    </row>
    <row r="81" spans="1:13" x14ac:dyDescent="0.25">
      <c r="A81" s="40" t="e">
        <f t="shared" si="38"/>
        <v>#N/A</v>
      </c>
      <c r="B81" s="1" t="e">
        <f t="shared" si="26"/>
        <v>#N/A</v>
      </c>
      <c r="C81" s="1" t="e">
        <f t="shared" si="27"/>
        <v>#N/A</v>
      </c>
      <c r="D81" s="1" t="e">
        <f t="shared" si="28"/>
        <v>#N/A</v>
      </c>
      <c r="E81" s="1" t="e">
        <f t="shared" si="29"/>
        <v>#N/A</v>
      </c>
      <c r="F81" s="45" t="e">
        <f t="shared" si="30"/>
        <v>#N/A</v>
      </c>
      <c r="G81" s="47" t="e">
        <f t="shared" si="31"/>
        <v>#N/A</v>
      </c>
      <c r="H81" s="1" t="e">
        <f t="shared" si="32"/>
        <v>#N/A</v>
      </c>
      <c r="I81" s="1" t="e">
        <f t="shared" si="33"/>
        <v>#N/A</v>
      </c>
      <c r="J81" s="1" t="e">
        <f t="shared" si="34"/>
        <v>#N/A</v>
      </c>
      <c r="K81" s="1" t="e">
        <f t="shared" si="35"/>
        <v>#N/A</v>
      </c>
      <c r="L81" s="45" t="e">
        <f t="shared" si="36"/>
        <v>#N/A</v>
      </c>
      <c r="M81" s="47" t="e">
        <f t="shared" si="37"/>
        <v>#N/A</v>
      </c>
    </row>
    <row r="82" spans="1:13" x14ac:dyDescent="0.25">
      <c r="A82" s="40" t="e">
        <f t="shared" si="38"/>
        <v>#N/A</v>
      </c>
      <c r="B82" s="1" t="e">
        <f t="shared" si="26"/>
        <v>#N/A</v>
      </c>
      <c r="C82" s="1" t="e">
        <f t="shared" si="27"/>
        <v>#N/A</v>
      </c>
      <c r="D82" s="1" t="e">
        <f t="shared" si="28"/>
        <v>#N/A</v>
      </c>
      <c r="E82" s="1" t="e">
        <f t="shared" si="29"/>
        <v>#N/A</v>
      </c>
      <c r="F82" s="45" t="e">
        <f t="shared" si="30"/>
        <v>#N/A</v>
      </c>
      <c r="G82" s="47" t="e">
        <f t="shared" si="31"/>
        <v>#N/A</v>
      </c>
      <c r="H82" s="1" t="e">
        <f t="shared" si="32"/>
        <v>#N/A</v>
      </c>
      <c r="I82" s="1" t="e">
        <f t="shared" si="33"/>
        <v>#N/A</v>
      </c>
      <c r="J82" s="1" t="e">
        <f t="shared" si="34"/>
        <v>#N/A</v>
      </c>
      <c r="K82" s="1" t="e">
        <f t="shared" si="35"/>
        <v>#N/A</v>
      </c>
      <c r="L82" s="45" t="e">
        <f t="shared" si="36"/>
        <v>#N/A</v>
      </c>
      <c r="M82" s="47" t="e">
        <f t="shared" si="37"/>
        <v>#N/A</v>
      </c>
    </row>
    <row r="83" spans="1:13" x14ac:dyDescent="0.25">
      <c r="A83" s="40" t="e">
        <f t="shared" si="38"/>
        <v>#N/A</v>
      </c>
      <c r="B83" s="1" t="e">
        <f t="shared" si="26"/>
        <v>#N/A</v>
      </c>
      <c r="C83" s="1" t="e">
        <f t="shared" si="27"/>
        <v>#N/A</v>
      </c>
      <c r="D83" s="1" t="e">
        <f t="shared" si="28"/>
        <v>#N/A</v>
      </c>
      <c r="E83" s="1" t="e">
        <f t="shared" si="29"/>
        <v>#N/A</v>
      </c>
      <c r="F83" s="45" t="e">
        <f t="shared" si="30"/>
        <v>#N/A</v>
      </c>
      <c r="G83" s="47" t="e">
        <f t="shared" si="31"/>
        <v>#N/A</v>
      </c>
      <c r="H83" s="1" t="e">
        <f t="shared" si="32"/>
        <v>#N/A</v>
      </c>
      <c r="I83" s="1" t="e">
        <f t="shared" si="33"/>
        <v>#N/A</v>
      </c>
      <c r="J83" s="1" t="e">
        <f t="shared" si="34"/>
        <v>#N/A</v>
      </c>
      <c r="K83" s="1" t="e">
        <f t="shared" si="35"/>
        <v>#N/A</v>
      </c>
      <c r="L83" s="45" t="e">
        <f t="shared" si="36"/>
        <v>#N/A</v>
      </c>
      <c r="M83" s="47" t="e">
        <f t="shared" si="37"/>
        <v>#N/A</v>
      </c>
    </row>
    <row r="84" spans="1:13" x14ac:dyDescent="0.25">
      <c r="A84" s="40" t="e">
        <f t="shared" si="38"/>
        <v>#N/A</v>
      </c>
      <c r="B84" s="1" t="e">
        <f t="shared" si="26"/>
        <v>#N/A</v>
      </c>
      <c r="C84" s="1" t="e">
        <f t="shared" si="27"/>
        <v>#N/A</v>
      </c>
      <c r="D84" s="1" t="e">
        <f t="shared" si="28"/>
        <v>#N/A</v>
      </c>
      <c r="E84" s="1" t="e">
        <f t="shared" si="29"/>
        <v>#N/A</v>
      </c>
      <c r="F84" s="45" t="e">
        <f t="shared" si="30"/>
        <v>#N/A</v>
      </c>
      <c r="G84" s="47" t="e">
        <f t="shared" si="31"/>
        <v>#N/A</v>
      </c>
      <c r="H84" s="1" t="e">
        <f t="shared" si="32"/>
        <v>#N/A</v>
      </c>
      <c r="I84" s="1" t="e">
        <f t="shared" si="33"/>
        <v>#N/A</v>
      </c>
      <c r="J84" s="1" t="e">
        <f t="shared" si="34"/>
        <v>#N/A</v>
      </c>
      <c r="K84" s="1" t="e">
        <f t="shared" si="35"/>
        <v>#N/A</v>
      </c>
      <c r="L84" s="45" t="e">
        <f t="shared" si="36"/>
        <v>#N/A</v>
      </c>
      <c r="M84" s="47" t="e">
        <f t="shared" si="37"/>
        <v>#N/A</v>
      </c>
    </row>
    <row r="85" spans="1:13" x14ac:dyDescent="0.25">
      <c r="A85" s="40" t="e">
        <f t="shared" si="38"/>
        <v>#N/A</v>
      </c>
      <c r="B85" s="1" t="e">
        <f t="shared" si="26"/>
        <v>#N/A</v>
      </c>
      <c r="C85" s="1" t="e">
        <f t="shared" si="27"/>
        <v>#N/A</v>
      </c>
      <c r="D85" s="1" t="e">
        <f t="shared" si="28"/>
        <v>#N/A</v>
      </c>
      <c r="E85" s="1" t="e">
        <f t="shared" si="29"/>
        <v>#N/A</v>
      </c>
      <c r="F85" s="45" t="e">
        <f t="shared" si="30"/>
        <v>#N/A</v>
      </c>
      <c r="G85" s="47" t="e">
        <f t="shared" si="31"/>
        <v>#N/A</v>
      </c>
      <c r="H85" s="1" t="e">
        <f t="shared" si="32"/>
        <v>#N/A</v>
      </c>
      <c r="I85" s="1" t="e">
        <f t="shared" si="33"/>
        <v>#N/A</v>
      </c>
      <c r="J85" s="1" t="e">
        <f t="shared" si="34"/>
        <v>#N/A</v>
      </c>
      <c r="K85" s="1" t="e">
        <f t="shared" si="35"/>
        <v>#N/A</v>
      </c>
      <c r="L85" s="45" t="e">
        <f t="shared" si="36"/>
        <v>#N/A</v>
      </c>
      <c r="M85" s="47" t="e">
        <f t="shared" si="37"/>
        <v>#N/A</v>
      </c>
    </row>
    <row r="86" spans="1:13" x14ac:dyDescent="0.25">
      <c r="A86" s="40" t="e">
        <f t="shared" si="38"/>
        <v>#N/A</v>
      </c>
      <c r="B86" s="1" t="e">
        <f t="shared" si="26"/>
        <v>#N/A</v>
      </c>
      <c r="C86" s="1" t="e">
        <f t="shared" si="27"/>
        <v>#N/A</v>
      </c>
      <c r="D86" s="1" t="e">
        <f t="shared" si="28"/>
        <v>#N/A</v>
      </c>
      <c r="E86" s="1" t="e">
        <f t="shared" si="29"/>
        <v>#N/A</v>
      </c>
      <c r="F86" s="45" t="e">
        <f t="shared" si="30"/>
        <v>#N/A</v>
      </c>
      <c r="G86" s="47" t="e">
        <f t="shared" si="31"/>
        <v>#N/A</v>
      </c>
      <c r="H86" s="1" t="e">
        <f t="shared" si="32"/>
        <v>#N/A</v>
      </c>
      <c r="I86" s="1" t="e">
        <f t="shared" si="33"/>
        <v>#N/A</v>
      </c>
      <c r="J86" s="1" t="e">
        <f t="shared" si="34"/>
        <v>#N/A</v>
      </c>
      <c r="K86" s="1" t="e">
        <f t="shared" si="35"/>
        <v>#N/A</v>
      </c>
      <c r="L86" s="45" t="e">
        <f t="shared" si="36"/>
        <v>#N/A</v>
      </c>
      <c r="M86" s="47" t="e">
        <f t="shared" si="37"/>
        <v>#N/A</v>
      </c>
    </row>
    <row r="87" spans="1:13" x14ac:dyDescent="0.25">
      <c r="A87" s="40" t="e">
        <f t="shared" si="38"/>
        <v>#N/A</v>
      </c>
      <c r="B87" s="1" t="e">
        <f t="shared" si="26"/>
        <v>#N/A</v>
      </c>
      <c r="C87" s="1" t="e">
        <f t="shared" si="27"/>
        <v>#N/A</v>
      </c>
      <c r="D87" s="1" t="e">
        <f t="shared" si="28"/>
        <v>#N/A</v>
      </c>
      <c r="E87" s="1" t="e">
        <f t="shared" si="29"/>
        <v>#N/A</v>
      </c>
      <c r="F87" s="45" t="e">
        <f t="shared" si="30"/>
        <v>#N/A</v>
      </c>
      <c r="G87" s="47" t="e">
        <f t="shared" si="31"/>
        <v>#N/A</v>
      </c>
      <c r="H87" s="1" t="e">
        <f t="shared" si="32"/>
        <v>#N/A</v>
      </c>
      <c r="I87" s="1" t="e">
        <f t="shared" si="33"/>
        <v>#N/A</v>
      </c>
      <c r="J87" s="1" t="e">
        <f t="shared" si="34"/>
        <v>#N/A</v>
      </c>
      <c r="K87" s="1" t="e">
        <f t="shared" si="35"/>
        <v>#N/A</v>
      </c>
      <c r="L87" s="45" t="e">
        <f t="shared" si="36"/>
        <v>#N/A</v>
      </c>
      <c r="M87" s="47" t="e">
        <f t="shared" si="37"/>
        <v>#N/A</v>
      </c>
    </row>
    <row r="88" spans="1:13" x14ac:dyDescent="0.25">
      <c r="A88" s="40" t="e">
        <f t="shared" si="38"/>
        <v>#N/A</v>
      </c>
      <c r="B88" s="1" t="e">
        <f t="shared" si="26"/>
        <v>#N/A</v>
      </c>
      <c r="C88" s="1" t="e">
        <f t="shared" si="27"/>
        <v>#N/A</v>
      </c>
      <c r="D88" s="1" t="e">
        <f t="shared" si="28"/>
        <v>#N/A</v>
      </c>
      <c r="E88" s="1" t="e">
        <f t="shared" si="29"/>
        <v>#N/A</v>
      </c>
      <c r="F88" s="45" t="e">
        <f t="shared" si="30"/>
        <v>#N/A</v>
      </c>
      <c r="G88" s="47" t="e">
        <f t="shared" si="31"/>
        <v>#N/A</v>
      </c>
      <c r="H88" s="1" t="e">
        <f t="shared" si="32"/>
        <v>#N/A</v>
      </c>
      <c r="I88" s="1" t="e">
        <f t="shared" si="33"/>
        <v>#N/A</v>
      </c>
      <c r="J88" s="1" t="e">
        <f t="shared" si="34"/>
        <v>#N/A</v>
      </c>
      <c r="K88" s="1" t="e">
        <f t="shared" si="35"/>
        <v>#N/A</v>
      </c>
      <c r="L88" s="45" t="e">
        <f t="shared" si="36"/>
        <v>#N/A</v>
      </c>
      <c r="M88" s="47" t="e">
        <f t="shared" si="37"/>
        <v>#N/A</v>
      </c>
    </row>
    <row r="89" spans="1:13" x14ac:dyDescent="0.25">
      <c r="A89" s="40" t="e">
        <f t="shared" si="38"/>
        <v>#N/A</v>
      </c>
      <c r="B89" s="1" t="e">
        <f t="shared" si="26"/>
        <v>#N/A</v>
      </c>
      <c r="C89" s="1" t="e">
        <f t="shared" si="27"/>
        <v>#N/A</v>
      </c>
      <c r="D89" s="1" t="e">
        <f t="shared" si="28"/>
        <v>#N/A</v>
      </c>
      <c r="E89" s="1" t="e">
        <f t="shared" si="29"/>
        <v>#N/A</v>
      </c>
      <c r="F89" s="45" t="e">
        <f t="shared" si="30"/>
        <v>#N/A</v>
      </c>
      <c r="G89" s="47" t="e">
        <f t="shared" si="31"/>
        <v>#N/A</v>
      </c>
      <c r="H89" s="1" t="e">
        <f t="shared" si="32"/>
        <v>#N/A</v>
      </c>
      <c r="I89" s="1" t="e">
        <f t="shared" si="33"/>
        <v>#N/A</v>
      </c>
      <c r="J89" s="1" t="e">
        <f t="shared" si="34"/>
        <v>#N/A</v>
      </c>
      <c r="K89" s="1" t="e">
        <f t="shared" si="35"/>
        <v>#N/A</v>
      </c>
      <c r="L89" s="45" t="e">
        <f t="shared" si="36"/>
        <v>#N/A</v>
      </c>
      <c r="M89" s="47" t="e">
        <f t="shared" si="37"/>
        <v>#N/A</v>
      </c>
    </row>
    <row r="90" spans="1:13" x14ac:dyDescent="0.25">
      <c r="A90" s="40" t="e">
        <f t="shared" si="38"/>
        <v>#N/A</v>
      </c>
      <c r="B90" s="1" t="e">
        <f t="shared" si="26"/>
        <v>#N/A</v>
      </c>
      <c r="C90" s="1" t="e">
        <f t="shared" si="27"/>
        <v>#N/A</v>
      </c>
      <c r="D90" s="1" t="e">
        <f t="shared" si="28"/>
        <v>#N/A</v>
      </c>
      <c r="E90" s="1" t="e">
        <f t="shared" si="29"/>
        <v>#N/A</v>
      </c>
      <c r="F90" s="45" t="e">
        <f t="shared" si="30"/>
        <v>#N/A</v>
      </c>
      <c r="G90" s="47" t="e">
        <f t="shared" si="31"/>
        <v>#N/A</v>
      </c>
      <c r="H90" s="1" t="e">
        <f t="shared" si="32"/>
        <v>#N/A</v>
      </c>
      <c r="I90" s="1" t="e">
        <f t="shared" si="33"/>
        <v>#N/A</v>
      </c>
      <c r="J90" s="1" t="e">
        <f t="shared" si="34"/>
        <v>#N/A</v>
      </c>
      <c r="K90" s="1" t="e">
        <f t="shared" si="35"/>
        <v>#N/A</v>
      </c>
      <c r="L90" s="45" t="e">
        <f t="shared" si="36"/>
        <v>#N/A</v>
      </c>
      <c r="M90" s="47" t="e">
        <f t="shared" si="37"/>
        <v>#N/A</v>
      </c>
    </row>
    <row r="91" spans="1:13" x14ac:dyDescent="0.25">
      <c r="A91" s="40" t="e">
        <f t="shared" si="38"/>
        <v>#N/A</v>
      </c>
      <c r="B91" s="1" t="e">
        <f t="shared" si="26"/>
        <v>#N/A</v>
      </c>
      <c r="C91" s="1" t="e">
        <f t="shared" si="27"/>
        <v>#N/A</v>
      </c>
      <c r="D91" s="1" t="e">
        <f t="shared" si="28"/>
        <v>#N/A</v>
      </c>
      <c r="E91" s="1" t="e">
        <f t="shared" si="29"/>
        <v>#N/A</v>
      </c>
      <c r="F91" s="45" t="e">
        <f t="shared" si="30"/>
        <v>#N/A</v>
      </c>
      <c r="G91" s="47" t="e">
        <f t="shared" si="31"/>
        <v>#N/A</v>
      </c>
      <c r="H91" s="1" t="e">
        <f t="shared" si="32"/>
        <v>#N/A</v>
      </c>
      <c r="I91" s="1" t="e">
        <f t="shared" si="33"/>
        <v>#N/A</v>
      </c>
      <c r="J91" s="1" t="e">
        <f t="shared" si="34"/>
        <v>#N/A</v>
      </c>
      <c r="K91" s="1" t="e">
        <f t="shared" si="35"/>
        <v>#N/A</v>
      </c>
      <c r="L91" s="45" t="e">
        <f t="shared" si="36"/>
        <v>#N/A</v>
      </c>
      <c r="M91" s="47" t="e">
        <f t="shared" si="37"/>
        <v>#N/A</v>
      </c>
    </row>
    <row r="92" spans="1:13" x14ac:dyDescent="0.25">
      <c r="A92" s="40" t="e">
        <f t="shared" si="38"/>
        <v>#N/A</v>
      </c>
      <c r="B92" s="1" t="e">
        <f t="shared" si="26"/>
        <v>#N/A</v>
      </c>
      <c r="C92" s="1" t="e">
        <f t="shared" si="27"/>
        <v>#N/A</v>
      </c>
      <c r="D92" s="1" t="e">
        <f t="shared" si="28"/>
        <v>#N/A</v>
      </c>
      <c r="E92" s="1" t="e">
        <f t="shared" si="29"/>
        <v>#N/A</v>
      </c>
      <c r="F92" s="45" t="e">
        <f t="shared" si="30"/>
        <v>#N/A</v>
      </c>
      <c r="G92" s="47" t="e">
        <f t="shared" si="31"/>
        <v>#N/A</v>
      </c>
      <c r="H92" s="1" t="e">
        <f t="shared" si="32"/>
        <v>#N/A</v>
      </c>
      <c r="I92" s="1" t="e">
        <f t="shared" si="33"/>
        <v>#N/A</v>
      </c>
      <c r="J92" s="1" t="e">
        <f t="shared" si="34"/>
        <v>#N/A</v>
      </c>
      <c r="K92" s="1" t="e">
        <f t="shared" si="35"/>
        <v>#N/A</v>
      </c>
      <c r="L92" s="45" t="e">
        <f t="shared" si="36"/>
        <v>#N/A</v>
      </c>
      <c r="M92" s="47" t="e">
        <f t="shared" si="37"/>
        <v>#N/A</v>
      </c>
    </row>
    <row r="93" spans="1:13" x14ac:dyDescent="0.25">
      <c r="A93" s="40" t="e">
        <f t="shared" si="38"/>
        <v>#N/A</v>
      </c>
      <c r="B93" s="1" t="e">
        <f t="shared" si="26"/>
        <v>#N/A</v>
      </c>
      <c r="C93" s="1" t="e">
        <f t="shared" si="27"/>
        <v>#N/A</v>
      </c>
      <c r="D93" s="1" t="e">
        <f t="shared" si="28"/>
        <v>#N/A</v>
      </c>
      <c r="E93" s="1" t="e">
        <f t="shared" si="29"/>
        <v>#N/A</v>
      </c>
      <c r="F93" s="45" t="e">
        <f t="shared" si="30"/>
        <v>#N/A</v>
      </c>
      <c r="G93" s="47" t="e">
        <f t="shared" si="31"/>
        <v>#N/A</v>
      </c>
      <c r="H93" s="1" t="e">
        <f t="shared" si="32"/>
        <v>#N/A</v>
      </c>
      <c r="I93" s="1" t="e">
        <f t="shared" si="33"/>
        <v>#N/A</v>
      </c>
      <c r="J93" s="1" t="e">
        <f t="shared" si="34"/>
        <v>#N/A</v>
      </c>
      <c r="K93" s="1" t="e">
        <f t="shared" si="35"/>
        <v>#N/A</v>
      </c>
      <c r="L93" s="45" t="e">
        <f t="shared" si="36"/>
        <v>#N/A</v>
      </c>
      <c r="M93" s="47" t="e">
        <f t="shared" si="37"/>
        <v>#N/A</v>
      </c>
    </row>
    <row r="94" spans="1:13" x14ac:dyDescent="0.25">
      <c r="A94" s="40" t="e">
        <f t="shared" si="38"/>
        <v>#N/A</v>
      </c>
      <c r="B94" s="1" t="e">
        <f t="shared" si="26"/>
        <v>#N/A</v>
      </c>
      <c r="C94" s="1" t="e">
        <f t="shared" si="27"/>
        <v>#N/A</v>
      </c>
      <c r="D94" s="1" t="e">
        <f t="shared" si="28"/>
        <v>#N/A</v>
      </c>
      <c r="E94" s="1" t="e">
        <f t="shared" si="29"/>
        <v>#N/A</v>
      </c>
      <c r="F94" s="45" t="e">
        <f t="shared" si="30"/>
        <v>#N/A</v>
      </c>
      <c r="G94" s="47" t="e">
        <f t="shared" si="31"/>
        <v>#N/A</v>
      </c>
      <c r="H94" s="1" t="e">
        <f t="shared" si="32"/>
        <v>#N/A</v>
      </c>
      <c r="I94" s="1" t="e">
        <f t="shared" si="33"/>
        <v>#N/A</v>
      </c>
      <c r="J94" s="1" t="e">
        <f t="shared" si="34"/>
        <v>#N/A</v>
      </c>
      <c r="K94" s="1" t="e">
        <f t="shared" si="35"/>
        <v>#N/A</v>
      </c>
      <c r="L94" s="45" t="e">
        <f t="shared" si="36"/>
        <v>#N/A</v>
      </c>
      <c r="M94" s="47" t="e">
        <f t="shared" si="37"/>
        <v>#N/A</v>
      </c>
    </row>
    <row r="95" spans="1:13" x14ac:dyDescent="0.25">
      <c r="A95" s="40" t="e">
        <f t="shared" si="38"/>
        <v>#N/A</v>
      </c>
      <c r="B95" s="1" t="e">
        <f t="shared" si="26"/>
        <v>#N/A</v>
      </c>
      <c r="C95" s="1" t="e">
        <f t="shared" si="27"/>
        <v>#N/A</v>
      </c>
      <c r="D95" s="1" t="e">
        <f t="shared" si="28"/>
        <v>#N/A</v>
      </c>
      <c r="E95" s="1" t="e">
        <f t="shared" si="29"/>
        <v>#N/A</v>
      </c>
      <c r="F95" s="45" t="e">
        <f t="shared" si="30"/>
        <v>#N/A</v>
      </c>
      <c r="G95" s="47" t="e">
        <f t="shared" si="31"/>
        <v>#N/A</v>
      </c>
      <c r="H95" s="1" t="e">
        <f t="shared" si="32"/>
        <v>#N/A</v>
      </c>
      <c r="I95" s="1" t="e">
        <f t="shared" si="33"/>
        <v>#N/A</v>
      </c>
      <c r="J95" s="1" t="e">
        <f t="shared" si="34"/>
        <v>#N/A</v>
      </c>
      <c r="K95" s="1" t="e">
        <f t="shared" si="35"/>
        <v>#N/A</v>
      </c>
      <c r="L95" s="45" t="e">
        <f t="shared" si="36"/>
        <v>#N/A</v>
      </c>
      <c r="M95" s="47" t="e">
        <f t="shared" si="37"/>
        <v>#N/A</v>
      </c>
    </row>
    <row r="96" spans="1:13" x14ac:dyDescent="0.25">
      <c r="A96" s="40" t="e">
        <f t="shared" si="38"/>
        <v>#N/A</v>
      </c>
      <c r="B96" s="1" t="e">
        <f t="shared" si="26"/>
        <v>#N/A</v>
      </c>
      <c r="C96" s="1" t="e">
        <f t="shared" si="27"/>
        <v>#N/A</v>
      </c>
      <c r="D96" s="1" t="e">
        <f t="shared" si="28"/>
        <v>#N/A</v>
      </c>
      <c r="E96" s="1" t="e">
        <f t="shared" si="29"/>
        <v>#N/A</v>
      </c>
      <c r="F96" s="45" t="e">
        <f t="shared" si="30"/>
        <v>#N/A</v>
      </c>
      <c r="G96" s="47" t="e">
        <f t="shared" si="31"/>
        <v>#N/A</v>
      </c>
      <c r="H96" s="1" t="e">
        <f t="shared" si="32"/>
        <v>#N/A</v>
      </c>
      <c r="I96" s="1" t="e">
        <f t="shared" si="33"/>
        <v>#N/A</v>
      </c>
      <c r="J96" s="1" t="e">
        <f t="shared" si="34"/>
        <v>#N/A</v>
      </c>
      <c r="K96" s="1" t="e">
        <f t="shared" si="35"/>
        <v>#N/A</v>
      </c>
      <c r="L96" s="45" t="e">
        <f t="shared" si="36"/>
        <v>#N/A</v>
      </c>
      <c r="M96" s="47" t="e">
        <f t="shared" si="37"/>
        <v>#N/A</v>
      </c>
    </row>
    <row r="97" spans="1:13" x14ac:dyDescent="0.25">
      <c r="A97" s="40" t="e">
        <f t="shared" si="38"/>
        <v>#N/A</v>
      </c>
      <c r="B97" s="1" t="e">
        <f t="shared" si="26"/>
        <v>#N/A</v>
      </c>
      <c r="C97" s="1" t="e">
        <f t="shared" si="27"/>
        <v>#N/A</v>
      </c>
      <c r="D97" s="1" t="e">
        <f t="shared" si="28"/>
        <v>#N/A</v>
      </c>
      <c r="E97" s="1" t="e">
        <f t="shared" si="29"/>
        <v>#N/A</v>
      </c>
      <c r="F97" s="45" t="e">
        <f t="shared" si="30"/>
        <v>#N/A</v>
      </c>
      <c r="G97" s="47" t="e">
        <f t="shared" si="31"/>
        <v>#N/A</v>
      </c>
      <c r="H97" s="1" t="e">
        <f t="shared" si="32"/>
        <v>#N/A</v>
      </c>
      <c r="I97" s="1" t="e">
        <f t="shared" si="33"/>
        <v>#N/A</v>
      </c>
      <c r="J97" s="1" t="e">
        <f t="shared" si="34"/>
        <v>#N/A</v>
      </c>
      <c r="K97" s="1" t="e">
        <f t="shared" si="35"/>
        <v>#N/A</v>
      </c>
      <c r="L97" s="45" t="e">
        <f t="shared" si="36"/>
        <v>#N/A</v>
      </c>
      <c r="M97" s="47" t="e">
        <f t="shared" si="37"/>
        <v>#N/A</v>
      </c>
    </row>
    <row r="98" spans="1:13" x14ac:dyDescent="0.25">
      <c r="A98" s="40" t="e">
        <f t="shared" si="38"/>
        <v>#N/A</v>
      </c>
      <c r="B98" s="1" t="e">
        <f t="shared" si="26"/>
        <v>#N/A</v>
      </c>
      <c r="C98" s="1" t="e">
        <f t="shared" si="27"/>
        <v>#N/A</v>
      </c>
      <c r="D98" s="1" t="e">
        <f t="shared" si="28"/>
        <v>#N/A</v>
      </c>
      <c r="E98" s="1" t="e">
        <f t="shared" si="29"/>
        <v>#N/A</v>
      </c>
      <c r="F98" s="45" t="e">
        <f t="shared" si="30"/>
        <v>#N/A</v>
      </c>
      <c r="G98" s="47" t="e">
        <f t="shared" si="31"/>
        <v>#N/A</v>
      </c>
      <c r="H98" s="1" t="e">
        <f t="shared" si="32"/>
        <v>#N/A</v>
      </c>
      <c r="I98" s="1" t="e">
        <f t="shared" si="33"/>
        <v>#N/A</v>
      </c>
      <c r="J98" s="1" t="e">
        <f t="shared" si="34"/>
        <v>#N/A</v>
      </c>
      <c r="K98" s="1" t="e">
        <f t="shared" si="35"/>
        <v>#N/A</v>
      </c>
      <c r="L98" s="45" t="e">
        <f t="shared" si="36"/>
        <v>#N/A</v>
      </c>
      <c r="M98" s="47" t="e">
        <f t="shared" si="37"/>
        <v>#N/A</v>
      </c>
    </row>
    <row r="99" spans="1:13" x14ac:dyDescent="0.25">
      <c r="A99" s="40" t="e">
        <f t="shared" si="38"/>
        <v>#N/A</v>
      </c>
      <c r="B99" s="1" t="e">
        <f t="shared" si="26"/>
        <v>#N/A</v>
      </c>
      <c r="C99" s="1" t="e">
        <f t="shared" si="27"/>
        <v>#N/A</v>
      </c>
      <c r="D99" s="1" t="e">
        <f t="shared" si="28"/>
        <v>#N/A</v>
      </c>
      <c r="E99" s="1" t="e">
        <f t="shared" si="29"/>
        <v>#N/A</v>
      </c>
      <c r="F99" s="45" t="e">
        <f t="shared" si="30"/>
        <v>#N/A</v>
      </c>
      <c r="G99" s="47" t="e">
        <f t="shared" si="31"/>
        <v>#N/A</v>
      </c>
      <c r="H99" s="1" t="e">
        <f t="shared" si="32"/>
        <v>#N/A</v>
      </c>
      <c r="I99" s="1" t="e">
        <f t="shared" si="33"/>
        <v>#N/A</v>
      </c>
      <c r="J99" s="1" t="e">
        <f t="shared" si="34"/>
        <v>#N/A</v>
      </c>
      <c r="K99" s="1" t="e">
        <f t="shared" si="35"/>
        <v>#N/A</v>
      </c>
      <c r="L99" s="45" t="e">
        <f t="shared" si="36"/>
        <v>#N/A</v>
      </c>
      <c r="M99" s="47" t="e">
        <f t="shared" si="37"/>
        <v>#N/A</v>
      </c>
    </row>
    <row r="100" spans="1:13" x14ac:dyDescent="0.25">
      <c r="A100" s="40" t="e">
        <f t="shared" si="38"/>
        <v>#N/A</v>
      </c>
      <c r="B100" s="1" t="e">
        <f t="shared" ref="B100:B131" si="39">IF(Load_Case=1,(6*FL_SUS*H_STRC)/((0.001*L_STRC)^2+(6*A100*L_STRC*0.000001)),NA())</f>
        <v>#N/A</v>
      </c>
      <c r="C100" s="1" t="e">
        <f t="shared" ref="C100:C131" si="40">IF(Load_Case=1,(3*FC_SUS*H_STRC)/((A100*0.001)^2),NA())</f>
        <v>#N/A</v>
      </c>
      <c r="D100" s="1" t="e">
        <f t="shared" ref="D100:D131" si="41">IF(Load_Case=1,FA_SUS*1000/((L_STRC+2*A100)*0.001),NA())</f>
        <v>#N/A</v>
      </c>
      <c r="E100" s="1" t="e">
        <f t="shared" ref="E100:E131" si="42">1.5*D100+SQRT((B100^2+(1.5*C100)^2))</f>
        <v>#N/A</v>
      </c>
      <c r="F100" s="45" t="e">
        <f t="shared" ref="F100:F131" si="43">IF(SL_STRC,(1.17*E100*SQRT(0.5*D*0.001))*0.000001/((tnet_STRC*0.001)^1.5),NA())</f>
        <v>#N/A</v>
      </c>
      <c r="G100" s="47" t="e">
        <f t="shared" ref="G100:G131" si="44">IF(SC_STRC,(0.643*E100*SQRT((D*0.5)*0.001))*0.000001/((tnet_STRC*0.001)^1.5),NA())</f>
        <v>#N/A</v>
      </c>
      <c r="H100" s="1" t="e">
        <f t="shared" ref="H100:H131" si="45">IF(Load_Case=2,(6*FL_EXP*H_STRC)/((0.001*L_STRC)^2+(6*A100*L_STRC*0.000001)),NA())</f>
        <v>#N/A</v>
      </c>
      <c r="I100" s="1" t="e">
        <f t="shared" ref="I100:I131" si="46">IF(Load_Case=2,(3*FC_EXP*H_STRC)/((A100*0.001)^2),NA())</f>
        <v>#N/A</v>
      </c>
      <c r="J100" s="1" t="e">
        <f t="shared" ref="J100:J131" si="47">IF(Load_Case=2,FA_EXP*1000/((L_STRC+2*A100)*0.001),NA())</f>
        <v>#N/A</v>
      </c>
      <c r="K100" s="1" t="e">
        <f t="shared" ref="K100:K131" si="48">1.5*J100+SQRT((H100^2+(1.5*I100)^2))</f>
        <v>#N/A</v>
      </c>
      <c r="L100" s="45" t="e">
        <f t="shared" ref="L100:L131" si="49">IF(SL_STRC,(1.17*K100*SQRT(0.5*D*0.001))*0.000001/((tnet_STRC*0.001)^1.5),NA())</f>
        <v>#N/A</v>
      </c>
      <c r="M100" s="47" t="e">
        <f t="shared" ref="M100:M131" si="50">IF(SC_STRC,(0.643*K100*SQRT((D*0.5)*0.001))*0.000001/((tnet_STRC*0.001)^1.5),NA())</f>
        <v>#N/A</v>
      </c>
    </row>
    <row r="101" spans="1:13" x14ac:dyDescent="0.25">
      <c r="A101" s="40" t="e">
        <f t="shared" ref="A101:A132" si="51">IF((A100+W_STRC_Increment)&gt;Max_STRC_W,NA(),A100+W_STRC_Increment)</f>
        <v>#N/A</v>
      </c>
      <c r="B101" s="1" t="e">
        <f t="shared" si="39"/>
        <v>#N/A</v>
      </c>
      <c r="C101" s="1" t="e">
        <f t="shared" si="40"/>
        <v>#N/A</v>
      </c>
      <c r="D101" s="1" t="e">
        <f t="shared" si="41"/>
        <v>#N/A</v>
      </c>
      <c r="E101" s="1" t="e">
        <f t="shared" si="42"/>
        <v>#N/A</v>
      </c>
      <c r="F101" s="45" t="e">
        <f t="shared" si="43"/>
        <v>#N/A</v>
      </c>
      <c r="G101" s="47" t="e">
        <f t="shared" si="44"/>
        <v>#N/A</v>
      </c>
      <c r="H101" s="1" t="e">
        <f t="shared" si="45"/>
        <v>#N/A</v>
      </c>
      <c r="I101" s="1" t="e">
        <f t="shared" si="46"/>
        <v>#N/A</v>
      </c>
      <c r="J101" s="1" t="e">
        <f t="shared" si="47"/>
        <v>#N/A</v>
      </c>
      <c r="K101" s="1" t="e">
        <f t="shared" si="48"/>
        <v>#N/A</v>
      </c>
      <c r="L101" s="45" t="e">
        <f t="shared" si="49"/>
        <v>#N/A</v>
      </c>
      <c r="M101" s="47" t="e">
        <f t="shared" si="50"/>
        <v>#N/A</v>
      </c>
    </row>
    <row r="102" spans="1:13" x14ac:dyDescent="0.25">
      <c r="A102" s="40" t="e">
        <f t="shared" si="51"/>
        <v>#N/A</v>
      </c>
      <c r="B102" s="1" t="e">
        <f t="shared" si="39"/>
        <v>#N/A</v>
      </c>
      <c r="C102" s="1" t="e">
        <f t="shared" si="40"/>
        <v>#N/A</v>
      </c>
      <c r="D102" s="1" t="e">
        <f t="shared" si="41"/>
        <v>#N/A</v>
      </c>
      <c r="E102" s="1" t="e">
        <f t="shared" si="42"/>
        <v>#N/A</v>
      </c>
      <c r="F102" s="45" t="e">
        <f t="shared" si="43"/>
        <v>#N/A</v>
      </c>
      <c r="G102" s="47" t="e">
        <f t="shared" si="44"/>
        <v>#N/A</v>
      </c>
      <c r="H102" s="1" t="e">
        <f t="shared" si="45"/>
        <v>#N/A</v>
      </c>
      <c r="I102" s="1" t="e">
        <f t="shared" si="46"/>
        <v>#N/A</v>
      </c>
      <c r="J102" s="1" t="e">
        <f t="shared" si="47"/>
        <v>#N/A</v>
      </c>
      <c r="K102" s="1" t="e">
        <f t="shared" si="48"/>
        <v>#N/A</v>
      </c>
      <c r="L102" s="45" t="e">
        <f t="shared" si="49"/>
        <v>#N/A</v>
      </c>
      <c r="M102" s="47" t="e">
        <f t="shared" si="50"/>
        <v>#N/A</v>
      </c>
    </row>
    <row r="103" spans="1:13" x14ac:dyDescent="0.25">
      <c r="A103" s="40" t="e">
        <f t="shared" si="51"/>
        <v>#N/A</v>
      </c>
      <c r="B103" s="1" t="e">
        <f t="shared" si="39"/>
        <v>#N/A</v>
      </c>
      <c r="C103" s="1" t="e">
        <f t="shared" si="40"/>
        <v>#N/A</v>
      </c>
      <c r="D103" s="1" t="e">
        <f t="shared" si="41"/>
        <v>#N/A</v>
      </c>
      <c r="E103" s="1" t="e">
        <f t="shared" si="42"/>
        <v>#N/A</v>
      </c>
      <c r="F103" s="45" t="e">
        <f t="shared" si="43"/>
        <v>#N/A</v>
      </c>
      <c r="G103" s="47" t="e">
        <f t="shared" si="44"/>
        <v>#N/A</v>
      </c>
      <c r="H103" s="1" t="e">
        <f t="shared" si="45"/>
        <v>#N/A</v>
      </c>
      <c r="I103" s="1" t="e">
        <f t="shared" si="46"/>
        <v>#N/A</v>
      </c>
      <c r="J103" s="1" t="e">
        <f t="shared" si="47"/>
        <v>#N/A</v>
      </c>
      <c r="K103" s="1" t="e">
        <f t="shared" si="48"/>
        <v>#N/A</v>
      </c>
      <c r="L103" s="45" t="e">
        <f t="shared" si="49"/>
        <v>#N/A</v>
      </c>
      <c r="M103" s="47" t="e">
        <f t="shared" si="50"/>
        <v>#N/A</v>
      </c>
    </row>
    <row r="104" spans="1:13" x14ac:dyDescent="0.25">
      <c r="A104" s="40" t="e">
        <f t="shared" si="51"/>
        <v>#N/A</v>
      </c>
      <c r="B104" s="1" t="e">
        <f t="shared" si="39"/>
        <v>#N/A</v>
      </c>
      <c r="C104" s="1" t="e">
        <f t="shared" si="40"/>
        <v>#N/A</v>
      </c>
      <c r="D104" s="1" t="e">
        <f t="shared" si="41"/>
        <v>#N/A</v>
      </c>
      <c r="E104" s="1" t="e">
        <f t="shared" si="42"/>
        <v>#N/A</v>
      </c>
      <c r="F104" s="45" t="e">
        <f t="shared" si="43"/>
        <v>#N/A</v>
      </c>
      <c r="G104" s="47" t="e">
        <f t="shared" si="44"/>
        <v>#N/A</v>
      </c>
      <c r="H104" s="1" t="e">
        <f t="shared" si="45"/>
        <v>#N/A</v>
      </c>
      <c r="I104" s="1" t="e">
        <f t="shared" si="46"/>
        <v>#N/A</v>
      </c>
      <c r="J104" s="1" t="e">
        <f t="shared" si="47"/>
        <v>#N/A</v>
      </c>
      <c r="K104" s="1" t="e">
        <f t="shared" si="48"/>
        <v>#N/A</v>
      </c>
      <c r="L104" s="45" t="e">
        <f t="shared" si="49"/>
        <v>#N/A</v>
      </c>
      <c r="M104" s="47" t="e">
        <f t="shared" si="50"/>
        <v>#N/A</v>
      </c>
    </row>
    <row r="105" spans="1:13" x14ac:dyDescent="0.25">
      <c r="A105" s="40" t="e">
        <f t="shared" si="51"/>
        <v>#N/A</v>
      </c>
      <c r="B105" s="1" t="e">
        <f t="shared" si="39"/>
        <v>#N/A</v>
      </c>
      <c r="C105" s="1" t="e">
        <f t="shared" si="40"/>
        <v>#N/A</v>
      </c>
      <c r="D105" s="1" t="e">
        <f t="shared" si="41"/>
        <v>#N/A</v>
      </c>
      <c r="E105" s="1" t="e">
        <f t="shared" si="42"/>
        <v>#N/A</v>
      </c>
      <c r="F105" s="45" t="e">
        <f t="shared" si="43"/>
        <v>#N/A</v>
      </c>
      <c r="G105" s="47" t="e">
        <f t="shared" si="44"/>
        <v>#N/A</v>
      </c>
      <c r="H105" s="1" t="e">
        <f t="shared" si="45"/>
        <v>#N/A</v>
      </c>
      <c r="I105" s="1" t="e">
        <f t="shared" si="46"/>
        <v>#N/A</v>
      </c>
      <c r="J105" s="1" t="e">
        <f t="shared" si="47"/>
        <v>#N/A</v>
      </c>
      <c r="K105" s="1" t="e">
        <f t="shared" si="48"/>
        <v>#N/A</v>
      </c>
      <c r="L105" s="45" t="e">
        <f t="shared" si="49"/>
        <v>#N/A</v>
      </c>
      <c r="M105" s="47" t="e">
        <f t="shared" si="50"/>
        <v>#N/A</v>
      </c>
    </row>
    <row r="106" spans="1:13" x14ac:dyDescent="0.25">
      <c r="A106" s="40" t="e">
        <f t="shared" si="51"/>
        <v>#N/A</v>
      </c>
      <c r="B106" s="1" t="e">
        <f t="shared" si="39"/>
        <v>#N/A</v>
      </c>
      <c r="C106" s="1" t="e">
        <f t="shared" si="40"/>
        <v>#N/A</v>
      </c>
      <c r="D106" s="1" t="e">
        <f t="shared" si="41"/>
        <v>#N/A</v>
      </c>
      <c r="E106" s="1" t="e">
        <f t="shared" si="42"/>
        <v>#N/A</v>
      </c>
      <c r="F106" s="45" t="e">
        <f t="shared" si="43"/>
        <v>#N/A</v>
      </c>
      <c r="G106" s="47" t="e">
        <f t="shared" si="44"/>
        <v>#N/A</v>
      </c>
      <c r="H106" s="1" t="e">
        <f t="shared" si="45"/>
        <v>#N/A</v>
      </c>
      <c r="I106" s="1" t="e">
        <f t="shared" si="46"/>
        <v>#N/A</v>
      </c>
      <c r="J106" s="1" t="e">
        <f t="shared" si="47"/>
        <v>#N/A</v>
      </c>
      <c r="K106" s="1" t="e">
        <f t="shared" si="48"/>
        <v>#N/A</v>
      </c>
      <c r="L106" s="45" t="e">
        <f t="shared" si="49"/>
        <v>#N/A</v>
      </c>
      <c r="M106" s="47" t="e">
        <f t="shared" si="50"/>
        <v>#N/A</v>
      </c>
    </row>
    <row r="107" spans="1:13" x14ac:dyDescent="0.25">
      <c r="A107" s="40" t="e">
        <f t="shared" si="51"/>
        <v>#N/A</v>
      </c>
      <c r="B107" s="1" t="e">
        <f t="shared" si="39"/>
        <v>#N/A</v>
      </c>
      <c r="C107" s="1" t="e">
        <f t="shared" si="40"/>
        <v>#N/A</v>
      </c>
      <c r="D107" s="1" t="e">
        <f t="shared" si="41"/>
        <v>#N/A</v>
      </c>
      <c r="E107" s="1" t="e">
        <f t="shared" si="42"/>
        <v>#N/A</v>
      </c>
      <c r="F107" s="45" t="e">
        <f t="shared" si="43"/>
        <v>#N/A</v>
      </c>
      <c r="G107" s="47" t="e">
        <f t="shared" si="44"/>
        <v>#N/A</v>
      </c>
      <c r="H107" s="1" t="e">
        <f t="shared" si="45"/>
        <v>#N/A</v>
      </c>
      <c r="I107" s="1" t="e">
        <f t="shared" si="46"/>
        <v>#N/A</v>
      </c>
      <c r="J107" s="1" t="e">
        <f t="shared" si="47"/>
        <v>#N/A</v>
      </c>
      <c r="K107" s="1" t="e">
        <f t="shared" si="48"/>
        <v>#N/A</v>
      </c>
      <c r="L107" s="45" t="e">
        <f t="shared" si="49"/>
        <v>#N/A</v>
      </c>
      <c r="M107" s="47" t="e">
        <f t="shared" si="50"/>
        <v>#N/A</v>
      </c>
    </row>
    <row r="108" spans="1:13" x14ac:dyDescent="0.25">
      <c r="A108" s="40" t="e">
        <f t="shared" si="51"/>
        <v>#N/A</v>
      </c>
      <c r="B108" s="1" t="e">
        <f t="shared" si="39"/>
        <v>#N/A</v>
      </c>
      <c r="C108" s="1" t="e">
        <f t="shared" si="40"/>
        <v>#N/A</v>
      </c>
      <c r="D108" s="1" t="e">
        <f t="shared" si="41"/>
        <v>#N/A</v>
      </c>
      <c r="E108" s="1" t="e">
        <f t="shared" si="42"/>
        <v>#N/A</v>
      </c>
      <c r="F108" s="45" t="e">
        <f t="shared" si="43"/>
        <v>#N/A</v>
      </c>
      <c r="G108" s="47" t="e">
        <f t="shared" si="44"/>
        <v>#N/A</v>
      </c>
      <c r="H108" s="1" t="e">
        <f t="shared" si="45"/>
        <v>#N/A</v>
      </c>
      <c r="I108" s="1" t="e">
        <f t="shared" si="46"/>
        <v>#N/A</v>
      </c>
      <c r="J108" s="1" t="e">
        <f t="shared" si="47"/>
        <v>#N/A</v>
      </c>
      <c r="K108" s="1" t="e">
        <f t="shared" si="48"/>
        <v>#N/A</v>
      </c>
      <c r="L108" s="45" t="e">
        <f t="shared" si="49"/>
        <v>#N/A</v>
      </c>
      <c r="M108" s="47" t="e">
        <f t="shared" si="50"/>
        <v>#N/A</v>
      </c>
    </row>
    <row r="109" spans="1:13" x14ac:dyDescent="0.25">
      <c r="A109" s="40" t="e">
        <f t="shared" si="51"/>
        <v>#N/A</v>
      </c>
      <c r="B109" s="1" t="e">
        <f t="shared" si="39"/>
        <v>#N/A</v>
      </c>
      <c r="C109" s="1" t="e">
        <f t="shared" si="40"/>
        <v>#N/A</v>
      </c>
      <c r="D109" s="1" t="e">
        <f t="shared" si="41"/>
        <v>#N/A</v>
      </c>
      <c r="E109" s="1" t="e">
        <f t="shared" si="42"/>
        <v>#N/A</v>
      </c>
      <c r="F109" s="45" t="e">
        <f t="shared" si="43"/>
        <v>#N/A</v>
      </c>
      <c r="G109" s="47" t="e">
        <f t="shared" si="44"/>
        <v>#N/A</v>
      </c>
      <c r="H109" s="1" t="e">
        <f t="shared" si="45"/>
        <v>#N/A</v>
      </c>
      <c r="I109" s="1" t="e">
        <f t="shared" si="46"/>
        <v>#N/A</v>
      </c>
      <c r="J109" s="1" t="e">
        <f t="shared" si="47"/>
        <v>#N/A</v>
      </c>
      <c r="K109" s="1" t="e">
        <f t="shared" si="48"/>
        <v>#N/A</v>
      </c>
      <c r="L109" s="45" t="e">
        <f t="shared" si="49"/>
        <v>#N/A</v>
      </c>
      <c r="M109" s="47" t="e">
        <f t="shared" si="50"/>
        <v>#N/A</v>
      </c>
    </row>
    <row r="110" spans="1:13" x14ac:dyDescent="0.25">
      <c r="A110" s="40" t="e">
        <f t="shared" si="51"/>
        <v>#N/A</v>
      </c>
      <c r="B110" s="1" t="e">
        <f t="shared" si="39"/>
        <v>#N/A</v>
      </c>
      <c r="C110" s="1" t="e">
        <f t="shared" si="40"/>
        <v>#N/A</v>
      </c>
      <c r="D110" s="1" t="e">
        <f t="shared" si="41"/>
        <v>#N/A</v>
      </c>
      <c r="E110" s="1" t="e">
        <f t="shared" si="42"/>
        <v>#N/A</v>
      </c>
      <c r="F110" s="45" t="e">
        <f t="shared" si="43"/>
        <v>#N/A</v>
      </c>
      <c r="G110" s="47" t="e">
        <f t="shared" si="44"/>
        <v>#N/A</v>
      </c>
      <c r="H110" s="1" t="e">
        <f t="shared" si="45"/>
        <v>#N/A</v>
      </c>
      <c r="I110" s="1" t="e">
        <f t="shared" si="46"/>
        <v>#N/A</v>
      </c>
      <c r="J110" s="1" t="e">
        <f t="shared" si="47"/>
        <v>#N/A</v>
      </c>
      <c r="K110" s="1" t="e">
        <f t="shared" si="48"/>
        <v>#N/A</v>
      </c>
      <c r="L110" s="45" t="e">
        <f t="shared" si="49"/>
        <v>#N/A</v>
      </c>
      <c r="M110" s="47" t="e">
        <f t="shared" si="50"/>
        <v>#N/A</v>
      </c>
    </row>
    <row r="111" spans="1:13" x14ac:dyDescent="0.25">
      <c r="A111" s="40" t="e">
        <f t="shared" si="51"/>
        <v>#N/A</v>
      </c>
      <c r="B111" s="1" t="e">
        <f t="shared" si="39"/>
        <v>#N/A</v>
      </c>
      <c r="C111" s="1" t="e">
        <f t="shared" si="40"/>
        <v>#N/A</v>
      </c>
      <c r="D111" s="1" t="e">
        <f t="shared" si="41"/>
        <v>#N/A</v>
      </c>
      <c r="E111" s="1" t="e">
        <f t="shared" si="42"/>
        <v>#N/A</v>
      </c>
      <c r="F111" s="45" t="e">
        <f t="shared" si="43"/>
        <v>#N/A</v>
      </c>
      <c r="G111" s="47" t="e">
        <f t="shared" si="44"/>
        <v>#N/A</v>
      </c>
      <c r="H111" s="1" t="e">
        <f t="shared" si="45"/>
        <v>#N/A</v>
      </c>
      <c r="I111" s="1" t="e">
        <f t="shared" si="46"/>
        <v>#N/A</v>
      </c>
      <c r="J111" s="1" t="e">
        <f t="shared" si="47"/>
        <v>#N/A</v>
      </c>
      <c r="K111" s="1" t="e">
        <f t="shared" si="48"/>
        <v>#N/A</v>
      </c>
      <c r="L111" s="45" t="e">
        <f t="shared" si="49"/>
        <v>#N/A</v>
      </c>
      <c r="M111" s="47" t="e">
        <f t="shared" si="50"/>
        <v>#N/A</v>
      </c>
    </row>
    <row r="112" spans="1:13" x14ac:dyDescent="0.25">
      <c r="A112" s="40" t="e">
        <f t="shared" si="51"/>
        <v>#N/A</v>
      </c>
      <c r="B112" s="1" t="e">
        <f t="shared" si="39"/>
        <v>#N/A</v>
      </c>
      <c r="C112" s="1" t="e">
        <f t="shared" si="40"/>
        <v>#N/A</v>
      </c>
      <c r="D112" s="1" t="e">
        <f t="shared" si="41"/>
        <v>#N/A</v>
      </c>
      <c r="E112" s="1" t="e">
        <f t="shared" si="42"/>
        <v>#N/A</v>
      </c>
      <c r="F112" s="45" t="e">
        <f t="shared" si="43"/>
        <v>#N/A</v>
      </c>
      <c r="G112" s="47" t="e">
        <f t="shared" si="44"/>
        <v>#N/A</v>
      </c>
      <c r="H112" s="1" t="e">
        <f t="shared" si="45"/>
        <v>#N/A</v>
      </c>
      <c r="I112" s="1" t="e">
        <f t="shared" si="46"/>
        <v>#N/A</v>
      </c>
      <c r="J112" s="1" t="e">
        <f t="shared" si="47"/>
        <v>#N/A</v>
      </c>
      <c r="K112" s="1" t="e">
        <f t="shared" si="48"/>
        <v>#N/A</v>
      </c>
      <c r="L112" s="45" t="e">
        <f t="shared" si="49"/>
        <v>#N/A</v>
      </c>
      <c r="M112" s="47" t="e">
        <f t="shared" si="50"/>
        <v>#N/A</v>
      </c>
    </row>
    <row r="113" spans="1:13" x14ac:dyDescent="0.25">
      <c r="A113" s="40" t="e">
        <f t="shared" si="51"/>
        <v>#N/A</v>
      </c>
      <c r="B113" s="1" t="e">
        <f t="shared" si="39"/>
        <v>#N/A</v>
      </c>
      <c r="C113" s="1" t="e">
        <f t="shared" si="40"/>
        <v>#N/A</v>
      </c>
      <c r="D113" s="1" t="e">
        <f t="shared" si="41"/>
        <v>#N/A</v>
      </c>
      <c r="E113" s="1" t="e">
        <f t="shared" si="42"/>
        <v>#N/A</v>
      </c>
      <c r="F113" s="45" t="e">
        <f t="shared" si="43"/>
        <v>#N/A</v>
      </c>
      <c r="G113" s="47" t="e">
        <f t="shared" si="44"/>
        <v>#N/A</v>
      </c>
      <c r="H113" s="1" t="e">
        <f t="shared" si="45"/>
        <v>#N/A</v>
      </c>
      <c r="I113" s="1" t="e">
        <f t="shared" si="46"/>
        <v>#N/A</v>
      </c>
      <c r="J113" s="1" t="e">
        <f t="shared" si="47"/>
        <v>#N/A</v>
      </c>
      <c r="K113" s="1" t="e">
        <f t="shared" si="48"/>
        <v>#N/A</v>
      </c>
      <c r="L113" s="45" t="e">
        <f t="shared" si="49"/>
        <v>#N/A</v>
      </c>
      <c r="M113" s="47" t="e">
        <f t="shared" si="50"/>
        <v>#N/A</v>
      </c>
    </row>
    <row r="114" spans="1:13" x14ac:dyDescent="0.25">
      <c r="A114" s="40" t="e">
        <f t="shared" si="51"/>
        <v>#N/A</v>
      </c>
      <c r="B114" s="1" t="e">
        <f t="shared" si="39"/>
        <v>#N/A</v>
      </c>
      <c r="C114" s="1" t="e">
        <f t="shared" si="40"/>
        <v>#N/A</v>
      </c>
      <c r="D114" s="1" t="e">
        <f t="shared" si="41"/>
        <v>#N/A</v>
      </c>
      <c r="E114" s="1" t="e">
        <f t="shared" si="42"/>
        <v>#N/A</v>
      </c>
      <c r="F114" s="45" t="e">
        <f t="shared" si="43"/>
        <v>#N/A</v>
      </c>
      <c r="G114" s="47" t="e">
        <f t="shared" si="44"/>
        <v>#N/A</v>
      </c>
      <c r="H114" s="1" t="e">
        <f t="shared" si="45"/>
        <v>#N/A</v>
      </c>
      <c r="I114" s="1" t="e">
        <f t="shared" si="46"/>
        <v>#N/A</v>
      </c>
      <c r="J114" s="1" t="e">
        <f t="shared" si="47"/>
        <v>#N/A</v>
      </c>
      <c r="K114" s="1" t="e">
        <f t="shared" si="48"/>
        <v>#N/A</v>
      </c>
      <c r="L114" s="45" t="e">
        <f t="shared" si="49"/>
        <v>#N/A</v>
      </c>
      <c r="M114" s="47" t="e">
        <f t="shared" si="50"/>
        <v>#N/A</v>
      </c>
    </row>
    <row r="115" spans="1:13" x14ac:dyDescent="0.25">
      <c r="A115" s="40" t="e">
        <f t="shared" si="51"/>
        <v>#N/A</v>
      </c>
      <c r="B115" s="1" t="e">
        <f t="shared" si="39"/>
        <v>#N/A</v>
      </c>
      <c r="C115" s="1" t="e">
        <f t="shared" si="40"/>
        <v>#N/A</v>
      </c>
      <c r="D115" s="1" t="e">
        <f t="shared" si="41"/>
        <v>#N/A</v>
      </c>
      <c r="E115" s="1" t="e">
        <f t="shared" si="42"/>
        <v>#N/A</v>
      </c>
      <c r="F115" s="45" t="e">
        <f t="shared" si="43"/>
        <v>#N/A</v>
      </c>
      <c r="G115" s="47" t="e">
        <f t="shared" si="44"/>
        <v>#N/A</v>
      </c>
      <c r="H115" s="1" t="e">
        <f t="shared" si="45"/>
        <v>#N/A</v>
      </c>
      <c r="I115" s="1" t="e">
        <f t="shared" si="46"/>
        <v>#N/A</v>
      </c>
      <c r="J115" s="1" t="e">
        <f t="shared" si="47"/>
        <v>#N/A</v>
      </c>
      <c r="K115" s="1" t="e">
        <f t="shared" si="48"/>
        <v>#N/A</v>
      </c>
      <c r="L115" s="45" t="e">
        <f t="shared" si="49"/>
        <v>#N/A</v>
      </c>
      <c r="M115" s="47" t="e">
        <f t="shared" si="50"/>
        <v>#N/A</v>
      </c>
    </row>
    <row r="116" spans="1:13" x14ac:dyDescent="0.25">
      <c r="A116" s="40" t="e">
        <f t="shared" si="51"/>
        <v>#N/A</v>
      </c>
      <c r="B116" s="1" t="e">
        <f t="shared" si="39"/>
        <v>#N/A</v>
      </c>
      <c r="C116" s="1" t="e">
        <f t="shared" si="40"/>
        <v>#N/A</v>
      </c>
      <c r="D116" s="1" t="e">
        <f t="shared" si="41"/>
        <v>#N/A</v>
      </c>
      <c r="E116" s="1" t="e">
        <f t="shared" si="42"/>
        <v>#N/A</v>
      </c>
      <c r="F116" s="45" t="e">
        <f t="shared" si="43"/>
        <v>#N/A</v>
      </c>
      <c r="G116" s="47" t="e">
        <f t="shared" si="44"/>
        <v>#N/A</v>
      </c>
      <c r="H116" s="1" t="e">
        <f t="shared" si="45"/>
        <v>#N/A</v>
      </c>
      <c r="I116" s="1" t="e">
        <f t="shared" si="46"/>
        <v>#N/A</v>
      </c>
      <c r="J116" s="1" t="e">
        <f t="shared" si="47"/>
        <v>#N/A</v>
      </c>
      <c r="K116" s="1" t="e">
        <f t="shared" si="48"/>
        <v>#N/A</v>
      </c>
      <c r="L116" s="45" t="e">
        <f t="shared" si="49"/>
        <v>#N/A</v>
      </c>
      <c r="M116" s="47" t="e">
        <f t="shared" si="50"/>
        <v>#N/A</v>
      </c>
    </row>
    <row r="117" spans="1:13" x14ac:dyDescent="0.25">
      <c r="A117" s="40" t="e">
        <f t="shared" si="51"/>
        <v>#N/A</v>
      </c>
      <c r="B117" s="1" t="e">
        <f t="shared" si="39"/>
        <v>#N/A</v>
      </c>
      <c r="C117" s="1" t="e">
        <f t="shared" si="40"/>
        <v>#N/A</v>
      </c>
      <c r="D117" s="1" t="e">
        <f t="shared" si="41"/>
        <v>#N/A</v>
      </c>
      <c r="E117" s="1" t="e">
        <f t="shared" si="42"/>
        <v>#N/A</v>
      </c>
      <c r="F117" s="45" t="e">
        <f t="shared" si="43"/>
        <v>#N/A</v>
      </c>
      <c r="G117" s="47" t="e">
        <f t="shared" si="44"/>
        <v>#N/A</v>
      </c>
      <c r="H117" s="1" t="e">
        <f t="shared" si="45"/>
        <v>#N/A</v>
      </c>
      <c r="I117" s="1" t="e">
        <f t="shared" si="46"/>
        <v>#N/A</v>
      </c>
      <c r="J117" s="1" t="e">
        <f t="shared" si="47"/>
        <v>#N/A</v>
      </c>
      <c r="K117" s="1" t="e">
        <f t="shared" si="48"/>
        <v>#N/A</v>
      </c>
      <c r="L117" s="45" t="e">
        <f t="shared" si="49"/>
        <v>#N/A</v>
      </c>
      <c r="M117" s="47" t="e">
        <f t="shared" si="50"/>
        <v>#N/A</v>
      </c>
    </row>
    <row r="118" spans="1:13" x14ac:dyDescent="0.25">
      <c r="A118" s="40" t="e">
        <f t="shared" si="51"/>
        <v>#N/A</v>
      </c>
      <c r="B118" s="1" t="e">
        <f t="shared" si="39"/>
        <v>#N/A</v>
      </c>
      <c r="C118" s="1" t="e">
        <f t="shared" si="40"/>
        <v>#N/A</v>
      </c>
      <c r="D118" s="1" t="e">
        <f t="shared" si="41"/>
        <v>#N/A</v>
      </c>
      <c r="E118" s="1" t="e">
        <f t="shared" si="42"/>
        <v>#N/A</v>
      </c>
      <c r="F118" s="45" t="e">
        <f t="shared" si="43"/>
        <v>#N/A</v>
      </c>
      <c r="G118" s="47" t="e">
        <f t="shared" si="44"/>
        <v>#N/A</v>
      </c>
      <c r="H118" s="1" t="e">
        <f t="shared" si="45"/>
        <v>#N/A</v>
      </c>
      <c r="I118" s="1" t="e">
        <f t="shared" si="46"/>
        <v>#N/A</v>
      </c>
      <c r="J118" s="1" t="e">
        <f t="shared" si="47"/>
        <v>#N/A</v>
      </c>
      <c r="K118" s="1" t="e">
        <f t="shared" si="48"/>
        <v>#N/A</v>
      </c>
      <c r="L118" s="45" t="e">
        <f t="shared" si="49"/>
        <v>#N/A</v>
      </c>
      <c r="M118" s="47" t="e">
        <f t="shared" si="50"/>
        <v>#N/A</v>
      </c>
    </row>
    <row r="119" spans="1:13" x14ac:dyDescent="0.25">
      <c r="A119" s="40" t="e">
        <f t="shared" si="51"/>
        <v>#N/A</v>
      </c>
      <c r="B119" s="1" t="e">
        <f t="shared" si="39"/>
        <v>#N/A</v>
      </c>
      <c r="C119" s="1" t="e">
        <f t="shared" si="40"/>
        <v>#N/A</v>
      </c>
      <c r="D119" s="1" t="e">
        <f t="shared" si="41"/>
        <v>#N/A</v>
      </c>
      <c r="E119" s="1" t="e">
        <f t="shared" si="42"/>
        <v>#N/A</v>
      </c>
      <c r="F119" s="45" t="e">
        <f t="shared" si="43"/>
        <v>#N/A</v>
      </c>
      <c r="G119" s="47" t="e">
        <f t="shared" si="44"/>
        <v>#N/A</v>
      </c>
      <c r="H119" s="1" t="e">
        <f t="shared" si="45"/>
        <v>#N/A</v>
      </c>
      <c r="I119" s="1" t="e">
        <f t="shared" si="46"/>
        <v>#N/A</v>
      </c>
      <c r="J119" s="1" t="e">
        <f t="shared" si="47"/>
        <v>#N/A</v>
      </c>
      <c r="K119" s="1" t="e">
        <f t="shared" si="48"/>
        <v>#N/A</v>
      </c>
      <c r="L119" s="45" t="e">
        <f t="shared" si="49"/>
        <v>#N/A</v>
      </c>
      <c r="M119" s="47" t="e">
        <f t="shared" si="50"/>
        <v>#N/A</v>
      </c>
    </row>
    <row r="120" spans="1:13" x14ac:dyDescent="0.25">
      <c r="A120" s="40" t="e">
        <f t="shared" si="51"/>
        <v>#N/A</v>
      </c>
      <c r="B120" s="1" t="e">
        <f t="shared" si="39"/>
        <v>#N/A</v>
      </c>
      <c r="C120" s="1" t="e">
        <f t="shared" si="40"/>
        <v>#N/A</v>
      </c>
      <c r="D120" s="1" t="e">
        <f t="shared" si="41"/>
        <v>#N/A</v>
      </c>
      <c r="E120" s="1" t="e">
        <f t="shared" si="42"/>
        <v>#N/A</v>
      </c>
      <c r="F120" s="45" t="e">
        <f t="shared" si="43"/>
        <v>#N/A</v>
      </c>
      <c r="G120" s="47" t="e">
        <f t="shared" si="44"/>
        <v>#N/A</v>
      </c>
      <c r="H120" s="1" t="e">
        <f t="shared" si="45"/>
        <v>#N/A</v>
      </c>
      <c r="I120" s="1" t="e">
        <f t="shared" si="46"/>
        <v>#N/A</v>
      </c>
      <c r="J120" s="1" t="e">
        <f t="shared" si="47"/>
        <v>#N/A</v>
      </c>
      <c r="K120" s="1" t="e">
        <f t="shared" si="48"/>
        <v>#N/A</v>
      </c>
      <c r="L120" s="45" t="e">
        <f t="shared" si="49"/>
        <v>#N/A</v>
      </c>
      <c r="M120" s="47" t="e">
        <f t="shared" si="50"/>
        <v>#N/A</v>
      </c>
    </row>
    <row r="121" spans="1:13" x14ac:dyDescent="0.25">
      <c r="A121" s="40" t="e">
        <f t="shared" si="51"/>
        <v>#N/A</v>
      </c>
      <c r="B121" s="1" t="e">
        <f t="shared" si="39"/>
        <v>#N/A</v>
      </c>
      <c r="C121" s="1" t="e">
        <f t="shared" si="40"/>
        <v>#N/A</v>
      </c>
      <c r="D121" s="1" t="e">
        <f t="shared" si="41"/>
        <v>#N/A</v>
      </c>
      <c r="E121" s="1" t="e">
        <f t="shared" si="42"/>
        <v>#N/A</v>
      </c>
      <c r="F121" s="45" t="e">
        <f t="shared" si="43"/>
        <v>#N/A</v>
      </c>
      <c r="G121" s="47" t="e">
        <f t="shared" si="44"/>
        <v>#N/A</v>
      </c>
      <c r="H121" s="1" t="e">
        <f t="shared" si="45"/>
        <v>#N/A</v>
      </c>
      <c r="I121" s="1" t="e">
        <f t="shared" si="46"/>
        <v>#N/A</v>
      </c>
      <c r="J121" s="1" t="e">
        <f t="shared" si="47"/>
        <v>#N/A</v>
      </c>
      <c r="K121" s="1" t="e">
        <f t="shared" si="48"/>
        <v>#N/A</v>
      </c>
      <c r="L121" s="45" t="e">
        <f t="shared" si="49"/>
        <v>#N/A</v>
      </c>
      <c r="M121" s="47" t="e">
        <f t="shared" si="50"/>
        <v>#N/A</v>
      </c>
    </row>
    <row r="122" spans="1:13" x14ac:dyDescent="0.25">
      <c r="A122" s="40" t="e">
        <f t="shared" si="51"/>
        <v>#N/A</v>
      </c>
      <c r="B122" s="1" t="e">
        <f t="shared" si="39"/>
        <v>#N/A</v>
      </c>
      <c r="C122" s="1" t="e">
        <f t="shared" si="40"/>
        <v>#N/A</v>
      </c>
      <c r="D122" s="1" t="e">
        <f t="shared" si="41"/>
        <v>#N/A</v>
      </c>
      <c r="E122" s="1" t="e">
        <f t="shared" si="42"/>
        <v>#N/A</v>
      </c>
      <c r="F122" s="45" t="e">
        <f t="shared" si="43"/>
        <v>#N/A</v>
      </c>
      <c r="G122" s="47" t="e">
        <f t="shared" si="44"/>
        <v>#N/A</v>
      </c>
      <c r="H122" s="1" t="e">
        <f t="shared" si="45"/>
        <v>#N/A</v>
      </c>
      <c r="I122" s="1" t="e">
        <f t="shared" si="46"/>
        <v>#N/A</v>
      </c>
      <c r="J122" s="1" t="e">
        <f t="shared" si="47"/>
        <v>#N/A</v>
      </c>
      <c r="K122" s="1" t="e">
        <f t="shared" si="48"/>
        <v>#N/A</v>
      </c>
      <c r="L122" s="45" t="e">
        <f t="shared" si="49"/>
        <v>#N/A</v>
      </c>
      <c r="M122" s="47" t="e">
        <f t="shared" si="50"/>
        <v>#N/A</v>
      </c>
    </row>
    <row r="123" spans="1:13" x14ac:dyDescent="0.25">
      <c r="A123" s="40" t="e">
        <f t="shared" si="51"/>
        <v>#N/A</v>
      </c>
      <c r="B123" s="1" t="e">
        <f t="shared" si="39"/>
        <v>#N/A</v>
      </c>
      <c r="C123" s="1" t="e">
        <f t="shared" si="40"/>
        <v>#N/A</v>
      </c>
      <c r="D123" s="1" t="e">
        <f t="shared" si="41"/>
        <v>#N/A</v>
      </c>
      <c r="E123" s="1" t="e">
        <f t="shared" si="42"/>
        <v>#N/A</v>
      </c>
      <c r="F123" s="45" t="e">
        <f t="shared" si="43"/>
        <v>#N/A</v>
      </c>
      <c r="G123" s="47" t="e">
        <f t="shared" si="44"/>
        <v>#N/A</v>
      </c>
      <c r="H123" s="1" t="e">
        <f t="shared" si="45"/>
        <v>#N/A</v>
      </c>
      <c r="I123" s="1" t="e">
        <f t="shared" si="46"/>
        <v>#N/A</v>
      </c>
      <c r="J123" s="1" t="e">
        <f t="shared" si="47"/>
        <v>#N/A</v>
      </c>
      <c r="K123" s="1" t="e">
        <f t="shared" si="48"/>
        <v>#N/A</v>
      </c>
      <c r="L123" s="45" t="e">
        <f t="shared" si="49"/>
        <v>#N/A</v>
      </c>
      <c r="M123" s="47" t="e">
        <f t="shared" si="50"/>
        <v>#N/A</v>
      </c>
    </row>
    <row r="124" spans="1:13" x14ac:dyDescent="0.25">
      <c r="A124" s="40" t="e">
        <f t="shared" si="51"/>
        <v>#N/A</v>
      </c>
      <c r="B124" s="1" t="e">
        <f t="shared" si="39"/>
        <v>#N/A</v>
      </c>
      <c r="C124" s="1" t="e">
        <f t="shared" si="40"/>
        <v>#N/A</v>
      </c>
      <c r="D124" s="1" t="e">
        <f t="shared" si="41"/>
        <v>#N/A</v>
      </c>
      <c r="E124" s="1" t="e">
        <f t="shared" si="42"/>
        <v>#N/A</v>
      </c>
      <c r="F124" s="45" t="e">
        <f t="shared" si="43"/>
        <v>#N/A</v>
      </c>
      <c r="G124" s="47" t="e">
        <f t="shared" si="44"/>
        <v>#N/A</v>
      </c>
      <c r="H124" s="1" t="e">
        <f t="shared" si="45"/>
        <v>#N/A</v>
      </c>
      <c r="I124" s="1" t="e">
        <f t="shared" si="46"/>
        <v>#N/A</v>
      </c>
      <c r="J124" s="1" t="e">
        <f t="shared" si="47"/>
        <v>#N/A</v>
      </c>
      <c r="K124" s="1" t="e">
        <f t="shared" si="48"/>
        <v>#N/A</v>
      </c>
      <c r="L124" s="45" t="e">
        <f t="shared" si="49"/>
        <v>#N/A</v>
      </c>
      <c r="M124" s="47" t="e">
        <f t="shared" si="50"/>
        <v>#N/A</v>
      </c>
    </row>
    <row r="125" spans="1:13" x14ac:dyDescent="0.25">
      <c r="A125" s="40" t="e">
        <f t="shared" si="51"/>
        <v>#N/A</v>
      </c>
      <c r="B125" s="1" t="e">
        <f t="shared" si="39"/>
        <v>#N/A</v>
      </c>
      <c r="C125" s="1" t="e">
        <f t="shared" si="40"/>
        <v>#N/A</v>
      </c>
      <c r="D125" s="1" t="e">
        <f t="shared" si="41"/>
        <v>#N/A</v>
      </c>
      <c r="E125" s="1" t="e">
        <f t="shared" si="42"/>
        <v>#N/A</v>
      </c>
      <c r="F125" s="45" t="e">
        <f t="shared" si="43"/>
        <v>#N/A</v>
      </c>
      <c r="G125" s="47" t="e">
        <f t="shared" si="44"/>
        <v>#N/A</v>
      </c>
      <c r="H125" s="1" t="e">
        <f t="shared" si="45"/>
        <v>#N/A</v>
      </c>
      <c r="I125" s="1" t="e">
        <f t="shared" si="46"/>
        <v>#N/A</v>
      </c>
      <c r="J125" s="1" t="e">
        <f t="shared" si="47"/>
        <v>#N/A</v>
      </c>
      <c r="K125" s="1" t="e">
        <f t="shared" si="48"/>
        <v>#N/A</v>
      </c>
      <c r="L125" s="45" t="e">
        <f t="shared" si="49"/>
        <v>#N/A</v>
      </c>
      <c r="M125" s="47" t="e">
        <f t="shared" si="50"/>
        <v>#N/A</v>
      </c>
    </row>
    <row r="126" spans="1:13" x14ac:dyDescent="0.25">
      <c r="A126" s="40" t="e">
        <f t="shared" si="51"/>
        <v>#N/A</v>
      </c>
      <c r="B126" s="1" t="e">
        <f t="shared" si="39"/>
        <v>#N/A</v>
      </c>
      <c r="C126" s="1" t="e">
        <f t="shared" si="40"/>
        <v>#N/A</v>
      </c>
      <c r="D126" s="1" t="e">
        <f t="shared" si="41"/>
        <v>#N/A</v>
      </c>
      <c r="E126" s="1" t="e">
        <f t="shared" si="42"/>
        <v>#N/A</v>
      </c>
      <c r="F126" s="45" t="e">
        <f t="shared" si="43"/>
        <v>#N/A</v>
      </c>
      <c r="G126" s="47" t="e">
        <f t="shared" si="44"/>
        <v>#N/A</v>
      </c>
      <c r="H126" s="1" t="e">
        <f t="shared" si="45"/>
        <v>#N/A</v>
      </c>
      <c r="I126" s="1" t="e">
        <f t="shared" si="46"/>
        <v>#N/A</v>
      </c>
      <c r="J126" s="1" t="e">
        <f t="shared" si="47"/>
        <v>#N/A</v>
      </c>
      <c r="K126" s="1" t="e">
        <f t="shared" si="48"/>
        <v>#N/A</v>
      </c>
      <c r="L126" s="45" t="e">
        <f t="shared" si="49"/>
        <v>#N/A</v>
      </c>
      <c r="M126" s="47" t="e">
        <f t="shared" si="50"/>
        <v>#N/A</v>
      </c>
    </row>
    <row r="127" spans="1:13" x14ac:dyDescent="0.25">
      <c r="A127" s="40" t="e">
        <f t="shared" si="51"/>
        <v>#N/A</v>
      </c>
      <c r="B127" s="1" t="e">
        <f t="shared" si="39"/>
        <v>#N/A</v>
      </c>
      <c r="C127" s="1" t="e">
        <f t="shared" si="40"/>
        <v>#N/A</v>
      </c>
      <c r="D127" s="1" t="e">
        <f t="shared" si="41"/>
        <v>#N/A</v>
      </c>
      <c r="E127" s="1" t="e">
        <f t="shared" si="42"/>
        <v>#N/A</v>
      </c>
      <c r="F127" s="45" t="e">
        <f t="shared" si="43"/>
        <v>#N/A</v>
      </c>
      <c r="G127" s="47" t="e">
        <f t="shared" si="44"/>
        <v>#N/A</v>
      </c>
      <c r="H127" s="1" t="e">
        <f t="shared" si="45"/>
        <v>#N/A</v>
      </c>
      <c r="I127" s="1" t="e">
        <f t="shared" si="46"/>
        <v>#N/A</v>
      </c>
      <c r="J127" s="1" t="e">
        <f t="shared" si="47"/>
        <v>#N/A</v>
      </c>
      <c r="K127" s="1" t="e">
        <f t="shared" si="48"/>
        <v>#N/A</v>
      </c>
      <c r="L127" s="45" t="e">
        <f t="shared" si="49"/>
        <v>#N/A</v>
      </c>
      <c r="M127" s="47" t="e">
        <f t="shared" si="50"/>
        <v>#N/A</v>
      </c>
    </row>
    <row r="128" spans="1:13" x14ac:dyDescent="0.25">
      <c r="A128" s="40" t="e">
        <f t="shared" si="51"/>
        <v>#N/A</v>
      </c>
      <c r="B128" s="1" t="e">
        <f t="shared" si="39"/>
        <v>#N/A</v>
      </c>
      <c r="C128" s="1" t="e">
        <f t="shared" si="40"/>
        <v>#N/A</v>
      </c>
      <c r="D128" s="1" t="e">
        <f t="shared" si="41"/>
        <v>#N/A</v>
      </c>
      <c r="E128" s="1" t="e">
        <f t="shared" si="42"/>
        <v>#N/A</v>
      </c>
      <c r="F128" s="45" t="e">
        <f t="shared" si="43"/>
        <v>#N/A</v>
      </c>
      <c r="G128" s="47" t="e">
        <f t="shared" si="44"/>
        <v>#N/A</v>
      </c>
      <c r="H128" s="1" t="e">
        <f t="shared" si="45"/>
        <v>#N/A</v>
      </c>
      <c r="I128" s="1" t="e">
        <f t="shared" si="46"/>
        <v>#N/A</v>
      </c>
      <c r="J128" s="1" t="e">
        <f t="shared" si="47"/>
        <v>#N/A</v>
      </c>
      <c r="K128" s="1" t="e">
        <f t="shared" si="48"/>
        <v>#N/A</v>
      </c>
      <c r="L128" s="45" t="e">
        <f t="shared" si="49"/>
        <v>#N/A</v>
      </c>
      <c r="M128" s="47" t="e">
        <f t="shared" si="50"/>
        <v>#N/A</v>
      </c>
    </row>
    <row r="129" spans="1:13" x14ac:dyDescent="0.25">
      <c r="A129" s="40" t="e">
        <f t="shared" si="51"/>
        <v>#N/A</v>
      </c>
      <c r="B129" s="1" t="e">
        <f t="shared" si="39"/>
        <v>#N/A</v>
      </c>
      <c r="C129" s="1" t="e">
        <f t="shared" si="40"/>
        <v>#N/A</v>
      </c>
      <c r="D129" s="1" t="e">
        <f t="shared" si="41"/>
        <v>#N/A</v>
      </c>
      <c r="E129" s="1" t="e">
        <f t="shared" si="42"/>
        <v>#N/A</v>
      </c>
      <c r="F129" s="45" t="e">
        <f t="shared" si="43"/>
        <v>#N/A</v>
      </c>
      <c r="G129" s="47" t="e">
        <f t="shared" si="44"/>
        <v>#N/A</v>
      </c>
      <c r="H129" s="1" t="e">
        <f t="shared" si="45"/>
        <v>#N/A</v>
      </c>
      <c r="I129" s="1" t="e">
        <f t="shared" si="46"/>
        <v>#N/A</v>
      </c>
      <c r="J129" s="1" t="e">
        <f t="shared" si="47"/>
        <v>#N/A</v>
      </c>
      <c r="K129" s="1" t="e">
        <f t="shared" si="48"/>
        <v>#N/A</v>
      </c>
      <c r="L129" s="45" t="e">
        <f t="shared" si="49"/>
        <v>#N/A</v>
      </c>
      <c r="M129" s="47" t="e">
        <f t="shared" si="50"/>
        <v>#N/A</v>
      </c>
    </row>
    <row r="130" spans="1:13" x14ac:dyDescent="0.25">
      <c r="A130" s="40" t="e">
        <f t="shared" si="51"/>
        <v>#N/A</v>
      </c>
      <c r="B130" s="1" t="e">
        <f t="shared" si="39"/>
        <v>#N/A</v>
      </c>
      <c r="C130" s="1" t="e">
        <f t="shared" si="40"/>
        <v>#N/A</v>
      </c>
      <c r="D130" s="1" t="e">
        <f t="shared" si="41"/>
        <v>#N/A</v>
      </c>
      <c r="E130" s="1" t="e">
        <f t="shared" si="42"/>
        <v>#N/A</v>
      </c>
      <c r="F130" s="45" t="e">
        <f t="shared" si="43"/>
        <v>#N/A</v>
      </c>
      <c r="G130" s="47" t="e">
        <f t="shared" si="44"/>
        <v>#N/A</v>
      </c>
      <c r="H130" s="1" t="e">
        <f t="shared" si="45"/>
        <v>#N/A</v>
      </c>
      <c r="I130" s="1" t="e">
        <f t="shared" si="46"/>
        <v>#N/A</v>
      </c>
      <c r="J130" s="1" t="e">
        <f t="shared" si="47"/>
        <v>#N/A</v>
      </c>
      <c r="K130" s="1" t="e">
        <f t="shared" si="48"/>
        <v>#N/A</v>
      </c>
      <c r="L130" s="45" t="e">
        <f t="shared" si="49"/>
        <v>#N/A</v>
      </c>
      <c r="M130" s="47" t="e">
        <f t="shared" si="50"/>
        <v>#N/A</v>
      </c>
    </row>
    <row r="131" spans="1:13" x14ac:dyDescent="0.25">
      <c r="A131" s="40" t="e">
        <f t="shared" si="51"/>
        <v>#N/A</v>
      </c>
      <c r="B131" s="1" t="e">
        <f t="shared" si="39"/>
        <v>#N/A</v>
      </c>
      <c r="C131" s="1" t="e">
        <f t="shared" si="40"/>
        <v>#N/A</v>
      </c>
      <c r="D131" s="1" t="e">
        <f t="shared" si="41"/>
        <v>#N/A</v>
      </c>
      <c r="E131" s="1" t="e">
        <f t="shared" si="42"/>
        <v>#N/A</v>
      </c>
      <c r="F131" s="45" t="e">
        <f t="shared" si="43"/>
        <v>#N/A</v>
      </c>
      <c r="G131" s="47" t="e">
        <f t="shared" si="44"/>
        <v>#N/A</v>
      </c>
      <c r="H131" s="1" t="e">
        <f t="shared" si="45"/>
        <v>#N/A</v>
      </c>
      <c r="I131" s="1" t="e">
        <f t="shared" si="46"/>
        <v>#N/A</v>
      </c>
      <c r="J131" s="1" t="e">
        <f t="shared" si="47"/>
        <v>#N/A</v>
      </c>
      <c r="K131" s="1" t="e">
        <f t="shared" si="48"/>
        <v>#N/A</v>
      </c>
      <c r="L131" s="45" t="e">
        <f t="shared" si="49"/>
        <v>#N/A</v>
      </c>
      <c r="M131" s="47" t="e">
        <f t="shared" si="50"/>
        <v>#N/A</v>
      </c>
    </row>
    <row r="132" spans="1:13" x14ac:dyDescent="0.25">
      <c r="A132" s="40" t="e">
        <f t="shared" si="51"/>
        <v>#N/A</v>
      </c>
      <c r="B132" s="1" t="e">
        <f t="shared" ref="B132:B150" si="52">IF(Load_Case=1,(6*FL_SUS*H_STRC)/((0.001*L_STRC)^2+(6*A132*L_STRC*0.000001)),NA())</f>
        <v>#N/A</v>
      </c>
      <c r="C132" s="1" t="e">
        <f t="shared" ref="C132:C150" si="53">IF(Load_Case=1,(3*FC_SUS*H_STRC)/((A132*0.001)^2),NA())</f>
        <v>#N/A</v>
      </c>
      <c r="D132" s="1" t="e">
        <f t="shared" ref="D132:D150" si="54">IF(Load_Case=1,FA_SUS*1000/((L_STRC+2*A132)*0.001),NA())</f>
        <v>#N/A</v>
      </c>
      <c r="E132" s="1" t="e">
        <f t="shared" ref="E132:E150" si="55">1.5*D132+SQRT((B132^2+(1.5*C132)^2))</f>
        <v>#N/A</v>
      </c>
      <c r="F132" s="45" t="e">
        <f t="shared" ref="F132:F150" si="56">IF(SL_STRC,(1.17*E132*SQRT(0.5*D*0.001))*0.000001/((tnet_STRC*0.001)^1.5),NA())</f>
        <v>#N/A</v>
      </c>
      <c r="G132" s="47" t="e">
        <f t="shared" ref="G132:G150" si="57">IF(SC_STRC,(0.643*E132*SQRT((D*0.5)*0.001))*0.000001/((tnet_STRC*0.001)^1.5),NA())</f>
        <v>#N/A</v>
      </c>
      <c r="H132" s="1" t="e">
        <f t="shared" ref="H132:H150" si="58">IF(Load_Case=2,(6*FL_EXP*H_STRC)/((0.001*L_STRC)^2+(6*A132*L_STRC*0.000001)),NA())</f>
        <v>#N/A</v>
      </c>
      <c r="I132" s="1" t="e">
        <f t="shared" ref="I132:I150" si="59">IF(Load_Case=2,(3*FC_EXP*H_STRC)/((A132*0.001)^2),NA())</f>
        <v>#N/A</v>
      </c>
      <c r="J132" s="1" t="e">
        <f t="shared" ref="J132:J150" si="60">IF(Load_Case=2,FA_EXP*1000/((L_STRC+2*A132)*0.001),NA())</f>
        <v>#N/A</v>
      </c>
      <c r="K132" s="1" t="e">
        <f t="shared" ref="K132:K150" si="61">1.5*J132+SQRT((H132^2+(1.5*I132)^2))</f>
        <v>#N/A</v>
      </c>
      <c r="L132" s="45" t="e">
        <f t="shared" ref="L132:L150" si="62">IF(SL_STRC,(1.17*K132*SQRT(0.5*D*0.001))*0.000001/((tnet_STRC*0.001)^1.5),NA())</f>
        <v>#N/A</v>
      </c>
      <c r="M132" s="47" t="e">
        <f t="shared" ref="M132:M150" si="63">IF(SC_STRC,(0.643*K132*SQRT((D*0.5)*0.001))*0.000001/((tnet_STRC*0.001)^1.5),NA())</f>
        <v>#N/A</v>
      </c>
    </row>
    <row r="133" spans="1:13" x14ac:dyDescent="0.25">
      <c r="A133" s="40" t="e">
        <f t="shared" ref="A133:A150" si="64">IF((A132+W_STRC_Increment)&gt;Max_STRC_W,NA(),A132+W_STRC_Increment)</f>
        <v>#N/A</v>
      </c>
      <c r="B133" s="1" t="e">
        <f t="shared" si="52"/>
        <v>#N/A</v>
      </c>
      <c r="C133" s="1" t="e">
        <f t="shared" si="53"/>
        <v>#N/A</v>
      </c>
      <c r="D133" s="1" t="e">
        <f t="shared" si="54"/>
        <v>#N/A</v>
      </c>
      <c r="E133" s="1" t="e">
        <f t="shared" si="55"/>
        <v>#N/A</v>
      </c>
      <c r="F133" s="45" t="e">
        <f t="shared" si="56"/>
        <v>#N/A</v>
      </c>
      <c r="G133" s="47" t="e">
        <f t="shared" si="57"/>
        <v>#N/A</v>
      </c>
      <c r="H133" s="1" t="e">
        <f t="shared" si="58"/>
        <v>#N/A</v>
      </c>
      <c r="I133" s="1" t="e">
        <f t="shared" si="59"/>
        <v>#N/A</v>
      </c>
      <c r="J133" s="1" t="e">
        <f t="shared" si="60"/>
        <v>#N/A</v>
      </c>
      <c r="K133" s="1" t="e">
        <f t="shared" si="61"/>
        <v>#N/A</v>
      </c>
      <c r="L133" s="45" t="e">
        <f t="shared" si="62"/>
        <v>#N/A</v>
      </c>
      <c r="M133" s="47" t="e">
        <f t="shared" si="63"/>
        <v>#N/A</v>
      </c>
    </row>
    <row r="134" spans="1:13" x14ac:dyDescent="0.25">
      <c r="A134" s="40" t="e">
        <f t="shared" si="64"/>
        <v>#N/A</v>
      </c>
      <c r="B134" s="1" t="e">
        <f t="shared" si="52"/>
        <v>#N/A</v>
      </c>
      <c r="C134" s="1" t="e">
        <f t="shared" si="53"/>
        <v>#N/A</v>
      </c>
      <c r="D134" s="1" t="e">
        <f t="shared" si="54"/>
        <v>#N/A</v>
      </c>
      <c r="E134" s="1" t="e">
        <f t="shared" si="55"/>
        <v>#N/A</v>
      </c>
      <c r="F134" s="45" t="e">
        <f t="shared" si="56"/>
        <v>#N/A</v>
      </c>
      <c r="G134" s="47" t="e">
        <f t="shared" si="57"/>
        <v>#N/A</v>
      </c>
      <c r="H134" s="1" t="e">
        <f t="shared" si="58"/>
        <v>#N/A</v>
      </c>
      <c r="I134" s="1" t="e">
        <f t="shared" si="59"/>
        <v>#N/A</v>
      </c>
      <c r="J134" s="1" t="e">
        <f t="shared" si="60"/>
        <v>#N/A</v>
      </c>
      <c r="K134" s="1" t="e">
        <f t="shared" si="61"/>
        <v>#N/A</v>
      </c>
      <c r="L134" s="45" t="e">
        <f t="shared" si="62"/>
        <v>#N/A</v>
      </c>
      <c r="M134" s="47" t="e">
        <f t="shared" si="63"/>
        <v>#N/A</v>
      </c>
    </row>
    <row r="135" spans="1:13" x14ac:dyDescent="0.25">
      <c r="A135" s="40" t="e">
        <f t="shared" si="64"/>
        <v>#N/A</v>
      </c>
      <c r="B135" s="1" t="e">
        <f t="shared" si="52"/>
        <v>#N/A</v>
      </c>
      <c r="C135" s="1" t="e">
        <f t="shared" si="53"/>
        <v>#N/A</v>
      </c>
      <c r="D135" s="1" t="e">
        <f t="shared" si="54"/>
        <v>#N/A</v>
      </c>
      <c r="E135" s="1" t="e">
        <f t="shared" si="55"/>
        <v>#N/A</v>
      </c>
      <c r="F135" s="45" t="e">
        <f t="shared" si="56"/>
        <v>#N/A</v>
      </c>
      <c r="G135" s="47" t="e">
        <f t="shared" si="57"/>
        <v>#N/A</v>
      </c>
      <c r="H135" s="1" t="e">
        <f t="shared" si="58"/>
        <v>#N/A</v>
      </c>
      <c r="I135" s="1" t="e">
        <f t="shared" si="59"/>
        <v>#N/A</v>
      </c>
      <c r="J135" s="1" t="e">
        <f t="shared" si="60"/>
        <v>#N/A</v>
      </c>
      <c r="K135" s="1" t="e">
        <f t="shared" si="61"/>
        <v>#N/A</v>
      </c>
      <c r="L135" s="45" t="e">
        <f t="shared" si="62"/>
        <v>#N/A</v>
      </c>
      <c r="M135" s="47" t="e">
        <f t="shared" si="63"/>
        <v>#N/A</v>
      </c>
    </row>
    <row r="136" spans="1:13" x14ac:dyDescent="0.25">
      <c r="A136" s="40" t="e">
        <f t="shared" si="64"/>
        <v>#N/A</v>
      </c>
      <c r="B136" s="1" t="e">
        <f t="shared" si="52"/>
        <v>#N/A</v>
      </c>
      <c r="C136" s="1" t="e">
        <f t="shared" si="53"/>
        <v>#N/A</v>
      </c>
      <c r="D136" s="1" t="e">
        <f t="shared" si="54"/>
        <v>#N/A</v>
      </c>
      <c r="E136" s="1" t="e">
        <f t="shared" si="55"/>
        <v>#N/A</v>
      </c>
      <c r="F136" s="45" t="e">
        <f t="shared" si="56"/>
        <v>#N/A</v>
      </c>
      <c r="G136" s="47" t="e">
        <f t="shared" si="57"/>
        <v>#N/A</v>
      </c>
      <c r="H136" s="1" t="e">
        <f t="shared" si="58"/>
        <v>#N/A</v>
      </c>
      <c r="I136" s="1" t="e">
        <f t="shared" si="59"/>
        <v>#N/A</v>
      </c>
      <c r="J136" s="1" t="e">
        <f t="shared" si="60"/>
        <v>#N/A</v>
      </c>
      <c r="K136" s="1" t="e">
        <f t="shared" si="61"/>
        <v>#N/A</v>
      </c>
      <c r="L136" s="45" t="e">
        <f t="shared" si="62"/>
        <v>#N/A</v>
      </c>
      <c r="M136" s="47" t="e">
        <f t="shared" si="63"/>
        <v>#N/A</v>
      </c>
    </row>
    <row r="137" spans="1:13" x14ac:dyDescent="0.25">
      <c r="A137" s="40" t="e">
        <f t="shared" si="64"/>
        <v>#N/A</v>
      </c>
      <c r="B137" s="1" t="e">
        <f t="shared" si="52"/>
        <v>#N/A</v>
      </c>
      <c r="C137" s="1" t="e">
        <f t="shared" si="53"/>
        <v>#N/A</v>
      </c>
      <c r="D137" s="1" t="e">
        <f t="shared" si="54"/>
        <v>#N/A</v>
      </c>
      <c r="E137" s="1" t="e">
        <f t="shared" si="55"/>
        <v>#N/A</v>
      </c>
      <c r="F137" s="45" t="e">
        <f t="shared" si="56"/>
        <v>#N/A</v>
      </c>
      <c r="G137" s="47" t="e">
        <f t="shared" si="57"/>
        <v>#N/A</v>
      </c>
      <c r="H137" s="1" t="e">
        <f t="shared" si="58"/>
        <v>#N/A</v>
      </c>
      <c r="I137" s="1" t="e">
        <f t="shared" si="59"/>
        <v>#N/A</v>
      </c>
      <c r="J137" s="1" t="e">
        <f t="shared" si="60"/>
        <v>#N/A</v>
      </c>
      <c r="K137" s="1" t="e">
        <f t="shared" si="61"/>
        <v>#N/A</v>
      </c>
      <c r="L137" s="45" t="e">
        <f t="shared" si="62"/>
        <v>#N/A</v>
      </c>
      <c r="M137" s="47" t="e">
        <f t="shared" si="63"/>
        <v>#N/A</v>
      </c>
    </row>
    <row r="138" spans="1:13" x14ac:dyDescent="0.25">
      <c r="A138" s="40" t="e">
        <f t="shared" si="64"/>
        <v>#N/A</v>
      </c>
      <c r="B138" s="1" t="e">
        <f t="shared" si="52"/>
        <v>#N/A</v>
      </c>
      <c r="C138" s="1" t="e">
        <f t="shared" si="53"/>
        <v>#N/A</v>
      </c>
      <c r="D138" s="1" t="e">
        <f t="shared" si="54"/>
        <v>#N/A</v>
      </c>
      <c r="E138" s="1" t="e">
        <f t="shared" si="55"/>
        <v>#N/A</v>
      </c>
      <c r="F138" s="45" t="e">
        <f t="shared" si="56"/>
        <v>#N/A</v>
      </c>
      <c r="G138" s="47" t="e">
        <f t="shared" si="57"/>
        <v>#N/A</v>
      </c>
      <c r="H138" s="1" t="e">
        <f t="shared" si="58"/>
        <v>#N/A</v>
      </c>
      <c r="I138" s="1" t="e">
        <f t="shared" si="59"/>
        <v>#N/A</v>
      </c>
      <c r="J138" s="1" t="e">
        <f t="shared" si="60"/>
        <v>#N/A</v>
      </c>
      <c r="K138" s="1" t="e">
        <f t="shared" si="61"/>
        <v>#N/A</v>
      </c>
      <c r="L138" s="45" t="e">
        <f t="shared" si="62"/>
        <v>#N/A</v>
      </c>
      <c r="M138" s="47" t="e">
        <f t="shared" si="63"/>
        <v>#N/A</v>
      </c>
    </row>
    <row r="139" spans="1:13" x14ac:dyDescent="0.25">
      <c r="A139" s="40" t="e">
        <f t="shared" si="64"/>
        <v>#N/A</v>
      </c>
      <c r="B139" s="1" t="e">
        <f t="shared" si="52"/>
        <v>#N/A</v>
      </c>
      <c r="C139" s="1" t="e">
        <f t="shared" si="53"/>
        <v>#N/A</v>
      </c>
      <c r="D139" s="1" t="e">
        <f t="shared" si="54"/>
        <v>#N/A</v>
      </c>
      <c r="E139" s="1" t="e">
        <f t="shared" si="55"/>
        <v>#N/A</v>
      </c>
      <c r="F139" s="45" t="e">
        <f t="shared" si="56"/>
        <v>#N/A</v>
      </c>
      <c r="G139" s="47" t="e">
        <f t="shared" si="57"/>
        <v>#N/A</v>
      </c>
      <c r="H139" s="1" t="e">
        <f t="shared" si="58"/>
        <v>#N/A</v>
      </c>
      <c r="I139" s="1" t="e">
        <f t="shared" si="59"/>
        <v>#N/A</v>
      </c>
      <c r="J139" s="1" t="e">
        <f t="shared" si="60"/>
        <v>#N/A</v>
      </c>
      <c r="K139" s="1" t="e">
        <f t="shared" si="61"/>
        <v>#N/A</v>
      </c>
      <c r="L139" s="45" t="e">
        <f t="shared" si="62"/>
        <v>#N/A</v>
      </c>
      <c r="M139" s="47" t="e">
        <f t="shared" si="63"/>
        <v>#N/A</v>
      </c>
    </row>
    <row r="140" spans="1:13" x14ac:dyDescent="0.25">
      <c r="A140" s="40" t="e">
        <f t="shared" si="64"/>
        <v>#N/A</v>
      </c>
      <c r="B140" s="1" t="e">
        <f t="shared" si="52"/>
        <v>#N/A</v>
      </c>
      <c r="C140" s="1" t="e">
        <f t="shared" si="53"/>
        <v>#N/A</v>
      </c>
      <c r="D140" s="1" t="e">
        <f t="shared" si="54"/>
        <v>#N/A</v>
      </c>
      <c r="E140" s="1" t="e">
        <f t="shared" si="55"/>
        <v>#N/A</v>
      </c>
      <c r="F140" s="45" t="e">
        <f t="shared" si="56"/>
        <v>#N/A</v>
      </c>
      <c r="G140" s="47" t="e">
        <f t="shared" si="57"/>
        <v>#N/A</v>
      </c>
      <c r="H140" s="1" t="e">
        <f t="shared" si="58"/>
        <v>#N/A</v>
      </c>
      <c r="I140" s="1" t="e">
        <f t="shared" si="59"/>
        <v>#N/A</v>
      </c>
      <c r="J140" s="1" t="e">
        <f t="shared" si="60"/>
        <v>#N/A</v>
      </c>
      <c r="K140" s="1" t="e">
        <f t="shared" si="61"/>
        <v>#N/A</v>
      </c>
      <c r="L140" s="45" t="e">
        <f t="shared" si="62"/>
        <v>#N/A</v>
      </c>
      <c r="M140" s="47" t="e">
        <f t="shared" si="63"/>
        <v>#N/A</v>
      </c>
    </row>
    <row r="141" spans="1:13" x14ac:dyDescent="0.25">
      <c r="A141" s="40" t="e">
        <f t="shared" si="64"/>
        <v>#N/A</v>
      </c>
      <c r="B141" s="1" t="e">
        <f t="shared" si="52"/>
        <v>#N/A</v>
      </c>
      <c r="C141" s="1" t="e">
        <f t="shared" si="53"/>
        <v>#N/A</v>
      </c>
      <c r="D141" s="1" t="e">
        <f t="shared" si="54"/>
        <v>#N/A</v>
      </c>
      <c r="E141" s="1" t="e">
        <f t="shared" si="55"/>
        <v>#N/A</v>
      </c>
      <c r="F141" s="45" t="e">
        <f t="shared" si="56"/>
        <v>#N/A</v>
      </c>
      <c r="G141" s="47" t="e">
        <f t="shared" si="57"/>
        <v>#N/A</v>
      </c>
      <c r="H141" s="1" t="e">
        <f t="shared" si="58"/>
        <v>#N/A</v>
      </c>
      <c r="I141" s="1" t="e">
        <f t="shared" si="59"/>
        <v>#N/A</v>
      </c>
      <c r="J141" s="1" t="e">
        <f t="shared" si="60"/>
        <v>#N/A</v>
      </c>
      <c r="K141" s="1" t="e">
        <f t="shared" si="61"/>
        <v>#N/A</v>
      </c>
      <c r="L141" s="45" t="e">
        <f t="shared" si="62"/>
        <v>#N/A</v>
      </c>
      <c r="M141" s="47" t="e">
        <f t="shared" si="63"/>
        <v>#N/A</v>
      </c>
    </row>
    <row r="142" spans="1:13" x14ac:dyDescent="0.25">
      <c r="A142" s="40" t="e">
        <f t="shared" si="64"/>
        <v>#N/A</v>
      </c>
      <c r="B142" s="1" t="e">
        <f t="shared" si="52"/>
        <v>#N/A</v>
      </c>
      <c r="C142" s="1" t="e">
        <f t="shared" si="53"/>
        <v>#N/A</v>
      </c>
      <c r="D142" s="1" t="e">
        <f t="shared" si="54"/>
        <v>#N/A</v>
      </c>
      <c r="E142" s="1" t="e">
        <f t="shared" si="55"/>
        <v>#N/A</v>
      </c>
      <c r="F142" s="45" t="e">
        <f t="shared" si="56"/>
        <v>#N/A</v>
      </c>
      <c r="G142" s="47" t="e">
        <f t="shared" si="57"/>
        <v>#N/A</v>
      </c>
      <c r="H142" s="1" t="e">
        <f t="shared" si="58"/>
        <v>#N/A</v>
      </c>
      <c r="I142" s="1" t="e">
        <f t="shared" si="59"/>
        <v>#N/A</v>
      </c>
      <c r="J142" s="1" t="e">
        <f t="shared" si="60"/>
        <v>#N/A</v>
      </c>
      <c r="K142" s="1" t="e">
        <f t="shared" si="61"/>
        <v>#N/A</v>
      </c>
      <c r="L142" s="45" t="e">
        <f t="shared" si="62"/>
        <v>#N/A</v>
      </c>
      <c r="M142" s="47" t="e">
        <f t="shared" si="63"/>
        <v>#N/A</v>
      </c>
    </row>
    <row r="143" spans="1:13" x14ac:dyDescent="0.25">
      <c r="A143" s="40" t="e">
        <f t="shared" si="64"/>
        <v>#N/A</v>
      </c>
      <c r="B143" s="1" t="e">
        <f t="shared" si="52"/>
        <v>#N/A</v>
      </c>
      <c r="C143" s="1" t="e">
        <f t="shared" si="53"/>
        <v>#N/A</v>
      </c>
      <c r="D143" s="1" t="e">
        <f t="shared" si="54"/>
        <v>#N/A</v>
      </c>
      <c r="E143" s="1" t="e">
        <f t="shared" si="55"/>
        <v>#N/A</v>
      </c>
      <c r="F143" s="45" t="e">
        <f t="shared" si="56"/>
        <v>#N/A</v>
      </c>
      <c r="G143" s="47" t="e">
        <f t="shared" si="57"/>
        <v>#N/A</v>
      </c>
      <c r="H143" s="1" t="e">
        <f t="shared" si="58"/>
        <v>#N/A</v>
      </c>
      <c r="I143" s="1" t="e">
        <f t="shared" si="59"/>
        <v>#N/A</v>
      </c>
      <c r="J143" s="1" t="e">
        <f t="shared" si="60"/>
        <v>#N/A</v>
      </c>
      <c r="K143" s="1" t="e">
        <f t="shared" si="61"/>
        <v>#N/A</v>
      </c>
      <c r="L143" s="45" t="e">
        <f t="shared" si="62"/>
        <v>#N/A</v>
      </c>
      <c r="M143" s="47" t="e">
        <f t="shared" si="63"/>
        <v>#N/A</v>
      </c>
    </row>
    <row r="144" spans="1:13" x14ac:dyDescent="0.25">
      <c r="A144" s="40" t="e">
        <f t="shared" si="64"/>
        <v>#N/A</v>
      </c>
      <c r="B144" s="1" t="e">
        <f t="shared" si="52"/>
        <v>#N/A</v>
      </c>
      <c r="C144" s="1" t="e">
        <f t="shared" si="53"/>
        <v>#N/A</v>
      </c>
      <c r="D144" s="1" t="e">
        <f t="shared" si="54"/>
        <v>#N/A</v>
      </c>
      <c r="E144" s="1" t="e">
        <f t="shared" si="55"/>
        <v>#N/A</v>
      </c>
      <c r="F144" s="45" t="e">
        <f t="shared" si="56"/>
        <v>#N/A</v>
      </c>
      <c r="G144" s="47" t="e">
        <f t="shared" si="57"/>
        <v>#N/A</v>
      </c>
      <c r="H144" s="1" t="e">
        <f t="shared" si="58"/>
        <v>#N/A</v>
      </c>
      <c r="I144" s="1" t="e">
        <f t="shared" si="59"/>
        <v>#N/A</v>
      </c>
      <c r="J144" s="1" t="e">
        <f t="shared" si="60"/>
        <v>#N/A</v>
      </c>
      <c r="K144" s="1" t="e">
        <f t="shared" si="61"/>
        <v>#N/A</v>
      </c>
      <c r="L144" s="45" t="e">
        <f t="shared" si="62"/>
        <v>#N/A</v>
      </c>
      <c r="M144" s="47" t="e">
        <f t="shared" si="63"/>
        <v>#N/A</v>
      </c>
    </row>
    <row r="145" spans="1:13" x14ac:dyDescent="0.25">
      <c r="A145" s="40" t="e">
        <f t="shared" si="64"/>
        <v>#N/A</v>
      </c>
      <c r="B145" s="1" t="e">
        <f t="shared" si="52"/>
        <v>#N/A</v>
      </c>
      <c r="C145" s="1" t="e">
        <f t="shared" si="53"/>
        <v>#N/A</v>
      </c>
      <c r="D145" s="1" t="e">
        <f t="shared" si="54"/>
        <v>#N/A</v>
      </c>
      <c r="E145" s="1" t="e">
        <f t="shared" si="55"/>
        <v>#N/A</v>
      </c>
      <c r="F145" s="45" t="e">
        <f t="shared" si="56"/>
        <v>#N/A</v>
      </c>
      <c r="G145" s="47" t="e">
        <f t="shared" si="57"/>
        <v>#N/A</v>
      </c>
      <c r="H145" s="1" t="e">
        <f t="shared" si="58"/>
        <v>#N/A</v>
      </c>
      <c r="I145" s="1" t="e">
        <f t="shared" si="59"/>
        <v>#N/A</v>
      </c>
      <c r="J145" s="1" t="e">
        <f t="shared" si="60"/>
        <v>#N/A</v>
      </c>
      <c r="K145" s="1" t="e">
        <f t="shared" si="61"/>
        <v>#N/A</v>
      </c>
      <c r="L145" s="45" t="e">
        <f t="shared" si="62"/>
        <v>#N/A</v>
      </c>
      <c r="M145" s="47" t="e">
        <f t="shared" si="63"/>
        <v>#N/A</v>
      </c>
    </row>
    <row r="146" spans="1:13" x14ac:dyDescent="0.25">
      <c r="A146" s="40" t="e">
        <f t="shared" si="64"/>
        <v>#N/A</v>
      </c>
      <c r="B146" s="1" t="e">
        <f t="shared" si="52"/>
        <v>#N/A</v>
      </c>
      <c r="C146" s="1" t="e">
        <f t="shared" si="53"/>
        <v>#N/A</v>
      </c>
      <c r="D146" s="1" t="e">
        <f t="shared" si="54"/>
        <v>#N/A</v>
      </c>
      <c r="E146" s="1" t="e">
        <f t="shared" si="55"/>
        <v>#N/A</v>
      </c>
      <c r="F146" s="45" t="e">
        <f t="shared" si="56"/>
        <v>#N/A</v>
      </c>
      <c r="G146" s="47" t="e">
        <f t="shared" si="57"/>
        <v>#N/A</v>
      </c>
      <c r="H146" s="1" t="e">
        <f t="shared" si="58"/>
        <v>#N/A</v>
      </c>
      <c r="I146" s="1" t="e">
        <f t="shared" si="59"/>
        <v>#N/A</v>
      </c>
      <c r="J146" s="1" t="e">
        <f t="shared" si="60"/>
        <v>#N/A</v>
      </c>
      <c r="K146" s="1" t="e">
        <f t="shared" si="61"/>
        <v>#N/A</v>
      </c>
      <c r="L146" s="45" t="e">
        <f t="shared" si="62"/>
        <v>#N/A</v>
      </c>
      <c r="M146" s="47" t="e">
        <f t="shared" si="63"/>
        <v>#N/A</v>
      </c>
    </row>
    <row r="147" spans="1:13" x14ac:dyDescent="0.25">
      <c r="A147" s="40" t="e">
        <f t="shared" si="64"/>
        <v>#N/A</v>
      </c>
      <c r="B147" s="1" t="e">
        <f t="shared" si="52"/>
        <v>#N/A</v>
      </c>
      <c r="C147" s="1" t="e">
        <f t="shared" si="53"/>
        <v>#N/A</v>
      </c>
      <c r="D147" s="1" t="e">
        <f t="shared" si="54"/>
        <v>#N/A</v>
      </c>
      <c r="E147" s="1" t="e">
        <f t="shared" si="55"/>
        <v>#N/A</v>
      </c>
      <c r="F147" s="45" t="e">
        <f t="shared" si="56"/>
        <v>#N/A</v>
      </c>
      <c r="G147" s="47" t="e">
        <f t="shared" si="57"/>
        <v>#N/A</v>
      </c>
      <c r="H147" s="1" t="e">
        <f t="shared" si="58"/>
        <v>#N/A</v>
      </c>
      <c r="I147" s="1" t="e">
        <f t="shared" si="59"/>
        <v>#N/A</v>
      </c>
      <c r="J147" s="1" t="e">
        <f t="shared" si="60"/>
        <v>#N/A</v>
      </c>
      <c r="K147" s="1" t="e">
        <f t="shared" si="61"/>
        <v>#N/A</v>
      </c>
      <c r="L147" s="45" t="e">
        <f t="shared" si="62"/>
        <v>#N/A</v>
      </c>
      <c r="M147" s="47" t="e">
        <f t="shared" si="63"/>
        <v>#N/A</v>
      </c>
    </row>
    <row r="148" spans="1:13" x14ac:dyDescent="0.25">
      <c r="A148" s="40" t="e">
        <f t="shared" si="64"/>
        <v>#N/A</v>
      </c>
      <c r="B148" s="1" t="e">
        <f t="shared" si="52"/>
        <v>#N/A</v>
      </c>
      <c r="C148" s="1" t="e">
        <f t="shared" si="53"/>
        <v>#N/A</v>
      </c>
      <c r="D148" s="1" t="e">
        <f t="shared" si="54"/>
        <v>#N/A</v>
      </c>
      <c r="E148" s="1" t="e">
        <f t="shared" si="55"/>
        <v>#N/A</v>
      </c>
      <c r="F148" s="45" t="e">
        <f t="shared" si="56"/>
        <v>#N/A</v>
      </c>
      <c r="G148" s="47" t="e">
        <f t="shared" si="57"/>
        <v>#N/A</v>
      </c>
      <c r="H148" s="1" t="e">
        <f t="shared" si="58"/>
        <v>#N/A</v>
      </c>
      <c r="I148" s="1" t="e">
        <f t="shared" si="59"/>
        <v>#N/A</v>
      </c>
      <c r="J148" s="1" t="e">
        <f t="shared" si="60"/>
        <v>#N/A</v>
      </c>
      <c r="K148" s="1" t="e">
        <f t="shared" si="61"/>
        <v>#N/A</v>
      </c>
      <c r="L148" s="45" t="e">
        <f t="shared" si="62"/>
        <v>#N/A</v>
      </c>
      <c r="M148" s="47" t="e">
        <f t="shared" si="63"/>
        <v>#N/A</v>
      </c>
    </row>
    <row r="149" spans="1:13" x14ac:dyDescent="0.25">
      <c r="A149" s="40" t="e">
        <f t="shared" si="64"/>
        <v>#N/A</v>
      </c>
      <c r="B149" s="1" t="e">
        <f t="shared" si="52"/>
        <v>#N/A</v>
      </c>
      <c r="C149" s="1" t="e">
        <f t="shared" si="53"/>
        <v>#N/A</v>
      </c>
      <c r="D149" s="1" t="e">
        <f t="shared" si="54"/>
        <v>#N/A</v>
      </c>
      <c r="E149" s="1" t="e">
        <f t="shared" si="55"/>
        <v>#N/A</v>
      </c>
      <c r="F149" s="45" t="e">
        <f t="shared" si="56"/>
        <v>#N/A</v>
      </c>
      <c r="G149" s="47" t="e">
        <f t="shared" si="57"/>
        <v>#N/A</v>
      </c>
      <c r="H149" s="1" t="e">
        <f t="shared" si="58"/>
        <v>#N/A</v>
      </c>
      <c r="I149" s="1" t="e">
        <f t="shared" si="59"/>
        <v>#N/A</v>
      </c>
      <c r="J149" s="1" t="e">
        <f t="shared" si="60"/>
        <v>#N/A</v>
      </c>
      <c r="K149" s="1" t="e">
        <f t="shared" si="61"/>
        <v>#N/A</v>
      </c>
      <c r="L149" s="45" t="e">
        <f t="shared" si="62"/>
        <v>#N/A</v>
      </c>
      <c r="M149" s="47" t="e">
        <f t="shared" si="63"/>
        <v>#N/A</v>
      </c>
    </row>
    <row r="150" spans="1:13" x14ac:dyDescent="0.25">
      <c r="A150" s="40" t="e">
        <f t="shared" si="64"/>
        <v>#N/A</v>
      </c>
      <c r="B150" s="1" t="e">
        <f t="shared" si="52"/>
        <v>#N/A</v>
      </c>
      <c r="C150" s="1" t="e">
        <f t="shared" si="53"/>
        <v>#N/A</v>
      </c>
      <c r="D150" s="1" t="e">
        <f t="shared" si="54"/>
        <v>#N/A</v>
      </c>
      <c r="E150" s="1" t="e">
        <f t="shared" si="55"/>
        <v>#N/A</v>
      </c>
      <c r="F150" s="45" t="e">
        <f t="shared" si="56"/>
        <v>#N/A</v>
      </c>
      <c r="G150" s="47" t="e">
        <f t="shared" si="57"/>
        <v>#N/A</v>
      </c>
      <c r="H150" s="1" t="e">
        <f t="shared" si="58"/>
        <v>#N/A</v>
      </c>
      <c r="I150" s="1" t="e">
        <f t="shared" si="59"/>
        <v>#N/A</v>
      </c>
      <c r="J150" s="1" t="e">
        <f t="shared" si="60"/>
        <v>#N/A</v>
      </c>
      <c r="K150" s="1" t="e">
        <f t="shared" si="61"/>
        <v>#N/A</v>
      </c>
      <c r="L150" s="45" t="e">
        <f t="shared" si="62"/>
        <v>#N/A</v>
      </c>
      <c r="M150" s="47" t="e">
        <f t="shared" si="63"/>
        <v>#N/A</v>
      </c>
    </row>
  </sheetData>
  <mergeCells count="2">
    <mergeCell ref="H2:M2"/>
    <mergeCell ref="E2: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0"/>
  <sheetViews>
    <sheetView topLeftCell="C1" workbookViewId="0">
      <selection activeCell="G158" sqref="G158:G160"/>
    </sheetView>
  </sheetViews>
  <sheetFormatPr defaultRowHeight="15" x14ac:dyDescent="0.25"/>
  <cols>
    <col min="1" max="1" width="16.42578125" customWidth="1"/>
    <col min="3" max="3" width="7.5703125" customWidth="1"/>
    <col min="4" max="4" width="8.42578125" customWidth="1"/>
    <col min="5" max="8" width="7.5703125" customWidth="1"/>
    <col min="12" max="12" width="15.140625" customWidth="1"/>
  </cols>
  <sheetData>
    <row r="1" spans="1:22" ht="15.75" x14ac:dyDescent="0.25">
      <c r="A1" s="26" t="s">
        <v>60</v>
      </c>
      <c r="B1" s="26">
        <f>PI()/180</f>
        <v>1.7453292519943295E-2</v>
      </c>
      <c r="C1" s="140"/>
      <c r="D1" s="542" t="s">
        <v>53</v>
      </c>
      <c r="E1" s="543"/>
      <c r="F1" s="543"/>
      <c r="G1" s="544"/>
      <c r="H1" s="542" t="s">
        <v>52</v>
      </c>
      <c r="I1" s="543"/>
      <c r="J1" s="543"/>
      <c r="K1" s="544"/>
      <c r="L1" s="135"/>
      <c r="M1" s="135"/>
      <c r="N1" s="135"/>
      <c r="O1" s="162" t="s">
        <v>53</v>
      </c>
      <c r="P1" s="162"/>
      <c r="Q1" s="162"/>
      <c r="R1" s="162"/>
      <c r="S1" s="540" t="s">
        <v>52</v>
      </c>
      <c r="T1" s="540"/>
      <c r="U1" s="540"/>
      <c r="V1" s="540"/>
    </row>
    <row r="2" spans="1:22" ht="90" x14ac:dyDescent="0.25">
      <c r="A2" s="157" t="s">
        <v>86</v>
      </c>
      <c r="B2" s="157">
        <f>Beta_Deg*Deg_to_Rad</f>
        <v>2.0943951023931953</v>
      </c>
      <c r="C2" s="157"/>
      <c r="D2" s="153" t="s">
        <v>231</v>
      </c>
      <c r="E2" s="154" t="s">
        <v>89</v>
      </c>
      <c r="F2" s="154" t="s">
        <v>90</v>
      </c>
      <c r="G2" s="155" t="s">
        <v>91</v>
      </c>
      <c r="H2" s="153" t="s">
        <v>231</v>
      </c>
      <c r="I2" s="154" t="s">
        <v>89</v>
      </c>
      <c r="J2" s="154" t="s">
        <v>90</v>
      </c>
      <c r="K2" s="156" t="s">
        <v>91</v>
      </c>
      <c r="L2" s="158" t="s">
        <v>86</v>
      </c>
      <c r="M2" s="158">
        <f>(180-0.5*Saddle_Angle_Zick)*Deg_to_Rad</f>
        <v>2.0943951023931953</v>
      </c>
      <c r="N2" s="158"/>
      <c r="O2" s="154" t="s">
        <v>183</v>
      </c>
      <c r="P2" s="154" t="s">
        <v>184</v>
      </c>
      <c r="Q2" s="154" t="s">
        <v>90</v>
      </c>
      <c r="R2" s="154" t="s">
        <v>91</v>
      </c>
      <c r="S2" s="154" t="s">
        <v>185</v>
      </c>
      <c r="T2" s="154" t="s">
        <v>186</v>
      </c>
      <c r="U2" s="154" t="s">
        <v>90</v>
      </c>
      <c r="V2" s="154" t="s">
        <v>91</v>
      </c>
    </row>
    <row r="3" spans="1:22" x14ac:dyDescent="0.25">
      <c r="A3" s="26" t="s">
        <v>87</v>
      </c>
      <c r="B3" s="26">
        <f>Saddle_BAngle_Zick_Deg*Deg_to_Rad</f>
        <v>2.0943951023931953</v>
      </c>
      <c r="C3" s="140"/>
      <c r="D3" s="141">
        <f>ABS(((FA_SUS*D*0.5)/PI())*(COS(Saddle_BAngle_Zick)+(0.5*Saddle_BAngle_Zick*SIN(Saddle_BAngle_Zick))-(1.5*SIN(Beta)/Beta)+(0.5*COS(Beta))-(0.25*(COS(Saddle_BAngle_Zick)-SIN(Beta)/Beta ))*(9-(4-6*(SIN(Beta)/Beta)^2 +(2*(COS(Beta))^2))/((SIN(Beta)/Beta)*COS(Beta)+1-(2*(SIN(Beta)/Beta)^2 )))))</f>
        <v>80.546041672565153</v>
      </c>
      <c r="E3" s="141">
        <f>0.25*FA_SUS</f>
        <v>1.25</v>
      </c>
      <c r="F3" s="141">
        <f>E3*1000/(4*tnet_Saddle_Zick*(4*0.5*D+1.56*SQRT((0.5*D*tnet_Saddle_Zick))))</f>
        <v>2.2249595143146381E-2</v>
      </c>
      <c r="G3" s="104">
        <f>D3*1000/(4*0.5*D*tnet_Saddle_Zick^2/6)</f>
        <v>3.4400675668586933</v>
      </c>
      <c r="H3" s="141">
        <f>ABS(((FA_EXP*D*0.5)/PI())*(COS(Saddle_BAngle_Zick)+(0.5*Saddle_BAngle_Zick*SIN(Saddle_BAngle_Zick))-(1.5*SIN(Beta)/Beta)+(0.5*COS(Beta))-(0.25*(COS(Saddle_BAngle_Zick)-SIN(Beta)/Beta ))*(9-(4-6*(SIN(Beta)/Beta)^2 +(2*(COS(Beta))^2))/((SIN(Beta)/Beta)*COS(Beta)+1-(2*(SIN(Beta)/Beta)^2 )))))</f>
        <v>80.546041672565153</v>
      </c>
      <c r="I3" s="141">
        <f>0.25*FA_EXP</f>
        <v>1.25</v>
      </c>
      <c r="J3" s="141">
        <f>I3*1000/(4*tnet_Saddle_Zick*(4*0.5*D+1.56*SQRT((0.5*D*tnet_Saddle_Zick))))</f>
        <v>2.2249595143146381E-2</v>
      </c>
      <c r="K3" s="141">
        <f>H3*1000/(4*0.5*D*tnet_Saddle_Zick^2/6)</f>
        <v>3.4400675668586933</v>
      </c>
      <c r="L3" s="135" t="s">
        <v>187</v>
      </c>
      <c r="M3" s="135">
        <f>M2</f>
        <v>2.0943951023931953</v>
      </c>
      <c r="N3" s="135"/>
      <c r="O3" s="159">
        <f>ABS(((FA_SUS*D*0.5)/PI())*(COS(Saddle_AAngle_Zick)+(0.5*Saddle_AAngle_Zick*SIN(Saddle_AAngle_Zick))-(1.5*SIN(BetaA)/BetaA)+(0.5*COS(BetaA))-(0.25*(COS(Saddle_AAngle_Zick)-SIN(BetaA)/BetaA ))*(9-(4-6*(SIN(BetaA)/BetaA)^2 +(2*(COS(BetaA))^2))/((SIN(BetaA)/BetaA)*COS(BetaA)+1-(2*(SIN(BetaA)/BetaA)^2 )))))</f>
        <v>80.546041672565153</v>
      </c>
      <c r="P3" s="159">
        <f>FA_SUS</f>
        <v>5</v>
      </c>
      <c r="Q3" s="159">
        <f>P3*1000/(4*tnet_Saddle_Zick*(4*0.5*D+1.56*SQRT((0.5*D*tnet_Saddle_Zick))))</f>
        <v>8.8998380572585523E-2</v>
      </c>
      <c r="R3" s="159">
        <f>O3*1000/(4*0.5*D*tnet_Saddle_Zick^2/6)</f>
        <v>3.4400675668586933</v>
      </c>
      <c r="S3" s="159">
        <f>ABS(((FA_EXP*D*0.5)/PI())*(COS(Saddle_AAngle_Zick)+(0.5*Saddle_AAngle_Zick*SIN(Saddle_AAngle_Zick))-(1.5*SIN(BetaA)/BetaA)+(0.5*COS(BetaA))-(0.25*(COS(Saddle_AAngle_Zick)-SIN(BetaA)/BetaA ))*(9-(4-6*(SIN(BetaA)/BetaA)^2 +(2*(COS(BetaA))^2))/((SIN(BetaA)/BetaA)*COS(BetaA)+1-(2*(SIN(BetaA)/BetaA)^2 )))))</f>
        <v>80.546041672565153</v>
      </c>
      <c r="T3" s="159">
        <f>FA_EXP</f>
        <v>5</v>
      </c>
      <c r="U3" s="159">
        <f>T3*1000/(4*tnet_Saddle_Zick*(4*0.5*D+1.56*SQRT((0.5*D*tnet_Saddle_Zick))))</f>
        <v>8.8998380572585523E-2</v>
      </c>
      <c r="V3" s="159">
        <f>S3*1000/(4*0.5*D*tnet_Saddle_Zick^2/6)</f>
        <v>3.4400675668586933</v>
      </c>
    </row>
    <row r="4" spans="1:22" x14ac:dyDescent="0.25">
      <c r="A4" s="26" t="s">
        <v>88</v>
      </c>
      <c r="B4" s="26">
        <f>((FA_SUS*D*0.5)/PI())*(COS(Saddle_BAngle_Zick)+(0.5*Saddle_BAngle_Zick*SIN(Saddle_BAngle_Zick))-(1.5*SIN(Beta)/Beta)+(0.5*COS(Beta))-(0.25*(COS(Saddle_BAngle_Zick)-SIN(Beta)/Beta ))*(9-(4-6*(SIN(Beta)/Beta)^2 +(2*(COS(Beta))^2))/((SIN(Beta)/Beta)*COS(Beta)+1-(2*(SIN(Beta)/Beta)^2 ))))</f>
        <v>-80.546041672565153</v>
      </c>
      <c r="C4" s="26"/>
      <c r="D4" s="26"/>
      <c r="E4" s="26"/>
      <c r="F4" s="26"/>
      <c r="G4" s="105"/>
      <c r="H4" s="26"/>
      <c r="I4" s="26"/>
      <c r="J4" s="26"/>
      <c r="L4" s="135"/>
      <c r="M4" s="135"/>
      <c r="N4" s="135"/>
      <c r="O4" s="135"/>
      <c r="P4" s="135"/>
      <c r="Q4" s="135"/>
      <c r="R4" s="135"/>
      <c r="S4" s="135"/>
      <c r="T4" s="135"/>
      <c r="U4" s="135"/>
      <c r="V4" s="76"/>
    </row>
    <row r="5" spans="1:22" ht="15.75" thickBot="1" x14ac:dyDescent="0.3">
      <c r="A5" s="26" t="s">
        <v>78</v>
      </c>
      <c r="B5" s="26">
        <f>((T*(1-0.01*MT)-Corr))+TP_Saddle_Zick</f>
        <v>10.734375</v>
      </c>
      <c r="C5" s="26"/>
      <c r="D5" s="26"/>
      <c r="E5" s="26"/>
      <c r="F5" s="26"/>
      <c r="G5" s="105" t="s">
        <v>97</v>
      </c>
      <c r="H5" s="26" t="s">
        <v>98</v>
      </c>
      <c r="I5" s="26"/>
      <c r="J5" s="26"/>
      <c r="L5" s="135" t="s">
        <v>78</v>
      </c>
      <c r="M5" s="135">
        <f>((T*(1-0.01*MT)-Corr))+TP_Saddle_Zick</f>
        <v>10.734375</v>
      </c>
      <c r="N5" s="135"/>
      <c r="O5" s="135"/>
      <c r="P5" s="135"/>
      <c r="Q5" s="135"/>
      <c r="R5" s="135" t="s">
        <v>97</v>
      </c>
      <c r="S5" s="135" t="s">
        <v>98</v>
      </c>
      <c r="T5" s="135"/>
      <c r="U5" s="135"/>
      <c r="V5" s="76"/>
    </row>
    <row r="6" spans="1:22" ht="15.75" thickBot="1" x14ac:dyDescent="0.3">
      <c r="A6" s="56"/>
      <c r="B6" s="55">
        <f>IF(Load_Case=1,F3,0)</f>
        <v>0</v>
      </c>
      <c r="C6" s="52">
        <f>IF(Load_Case=2,J3,0)</f>
        <v>2.2249595143146381E-2</v>
      </c>
      <c r="D6" s="53">
        <f>IF(Load_Case=3,#REF!,0)</f>
        <v>0</v>
      </c>
      <c r="E6" s="26"/>
      <c r="F6" s="26"/>
      <c r="G6" s="105" t="b">
        <v>1</v>
      </c>
      <c r="H6" s="26" t="b">
        <v>1</v>
      </c>
      <c r="I6" s="26"/>
      <c r="J6" s="26"/>
      <c r="L6" s="160"/>
      <c r="M6" s="161"/>
      <c r="N6" s="161"/>
      <c r="O6" s="161"/>
      <c r="P6" s="135"/>
      <c r="Q6" s="135"/>
      <c r="R6" s="135" t="b">
        <v>0</v>
      </c>
      <c r="S6" s="135" t="b">
        <v>1</v>
      </c>
      <c r="T6" s="135"/>
      <c r="U6" s="135"/>
      <c r="V6" s="76"/>
    </row>
    <row r="7" spans="1:22" ht="75.75" thickBot="1" x14ac:dyDescent="0.3">
      <c r="A7" s="57" t="s">
        <v>92</v>
      </c>
      <c r="B7" s="552">
        <f>MAX(B6,C6,D6)</f>
        <v>2.2249595143146381E-2</v>
      </c>
      <c r="C7" s="552"/>
      <c r="D7" s="553"/>
      <c r="E7" s="54">
        <f>B7</f>
        <v>2.2249595143146381E-2</v>
      </c>
      <c r="F7" s="26"/>
      <c r="G7" s="105"/>
      <c r="H7" s="26"/>
      <c r="I7" s="26"/>
      <c r="J7" s="26"/>
      <c r="L7" s="160" t="s">
        <v>188</v>
      </c>
      <c r="M7" s="163">
        <f>MAX(ABS(Q3),ABS(U3))</f>
        <v>8.8998380572585523E-2</v>
      </c>
      <c r="N7" s="164"/>
      <c r="O7" s="165"/>
      <c r="P7" s="161">
        <f>M7</f>
        <v>8.8998380572585523E-2</v>
      </c>
      <c r="Q7" s="135"/>
      <c r="R7" s="135"/>
      <c r="S7" s="135"/>
      <c r="T7" s="135"/>
      <c r="U7" s="135"/>
      <c r="V7" s="76"/>
    </row>
    <row r="8" spans="1:22" ht="45.75" thickBot="1" x14ac:dyDescent="0.3">
      <c r="A8" s="56"/>
      <c r="B8" s="55">
        <f>IF(Load_Case=1,ABS(G3),0)</f>
        <v>0</v>
      </c>
      <c r="C8" s="55">
        <f>IF(Load_Case=2,ABS(K3),0)</f>
        <v>3.4400675668586933</v>
      </c>
      <c r="D8" s="55">
        <f>IF(Load_Case=3,ABS(#REF!),0)</f>
        <v>0</v>
      </c>
      <c r="E8" s="26"/>
      <c r="F8" s="26"/>
      <c r="G8" s="105"/>
      <c r="H8" s="26"/>
      <c r="I8" s="26"/>
      <c r="J8" s="26"/>
      <c r="L8" s="160" t="s">
        <v>189</v>
      </c>
      <c r="M8" s="163">
        <f>MAX(ABS(R3),ABS(V3))</f>
        <v>3.4400675668586933</v>
      </c>
      <c r="N8" s="164"/>
      <c r="O8" s="165"/>
      <c r="P8" s="135">
        <f>M8</f>
        <v>3.4400675668586933</v>
      </c>
      <c r="Q8" s="135"/>
      <c r="R8" s="135"/>
      <c r="S8" s="135"/>
      <c r="T8" s="135"/>
      <c r="U8" s="135"/>
      <c r="V8" s="76"/>
    </row>
    <row r="9" spans="1:22" ht="75.75" thickBot="1" x14ac:dyDescent="0.3">
      <c r="A9" s="57" t="s">
        <v>93</v>
      </c>
      <c r="B9" s="552">
        <f>MAX(B8,C8,D8)</f>
        <v>3.4400675668586933</v>
      </c>
      <c r="C9" s="552"/>
      <c r="D9" s="553"/>
      <c r="E9" s="54">
        <f>B9</f>
        <v>3.4400675668586933</v>
      </c>
      <c r="F9" s="26"/>
      <c r="G9" s="105"/>
      <c r="H9" s="26"/>
      <c r="I9" s="26"/>
      <c r="J9" s="26"/>
      <c r="L9" s="22"/>
      <c r="M9" s="22"/>
      <c r="N9" s="63"/>
      <c r="O9" s="21"/>
      <c r="P9" s="37"/>
      <c r="Q9" s="38"/>
      <c r="R9" s="101"/>
      <c r="S9" s="541"/>
      <c r="T9" s="541"/>
      <c r="U9" s="541"/>
      <c r="V9" s="92"/>
    </row>
    <row r="10" spans="1:22" ht="15.75" thickBot="1" x14ac:dyDescent="0.3">
      <c r="A10" s="26"/>
      <c r="B10" s="26"/>
      <c r="C10" s="26"/>
      <c r="D10" s="549" t="s">
        <v>53</v>
      </c>
      <c r="E10" s="550"/>
      <c r="F10" s="550"/>
      <c r="G10" s="551"/>
      <c r="H10" s="549" t="s">
        <v>52</v>
      </c>
      <c r="I10" s="550"/>
      <c r="J10" s="550"/>
      <c r="K10" s="551"/>
      <c r="L10" s="67"/>
      <c r="M10" s="68"/>
      <c r="N10" s="547" t="s">
        <v>53</v>
      </c>
      <c r="O10" s="548"/>
      <c r="P10" s="545" t="s">
        <v>52</v>
      </c>
      <c r="Q10" s="546"/>
    </row>
    <row r="11" spans="1:22" ht="120.75" thickBot="1" x14ac:dyDescent="0.3">
      <c r="A11" s="50" t="s">
        <v>94</v>
      </c>
      <c r="B11" s="50" t="s">
        <v>95</v>
      </c>
      <c r="C11" s="59" t="s">
        <v>96</v>
      </c>
      <c r="D11" s="50" t="s">
        <v>231</v>
      </c>
      <c r="E11" s="49" t="s">
        <v>89</v>
      </c>
      <c r="F11" s="49" t="s">
        <v>90</v>
      </c>
      <c r="G11" s="103" t="s">
        <v>91</v>
      </c>
      <c r="H11" s="50" t="s">
        <v>231</v>
      </c>
      <c r="I11" s="49" t="s">
        <v>89</v>
      </c>
      <c r="J11" s="49" t="s">
        <v>90</v>
      </c>
      <c r="K11" s="51" t="s">
        <v>91</v>
      </c>
      <c r="L11" s="66" t="s">
        <v>99</v>
      </c>
      <c r="M11" s="70" t="s">
        <v>100</v>
      </c>
      <c r="N11" s="71" t="s">
        <v>231</v>
      </c>
      <c r="O11" s="69" t="s">
        <v>91</v>
      </c>
      <c r="P11" s="71" t="s">
        <v>231</v>
      </c>
      <c r="Q11" s="69" t="s">
        <v>91</v>
      </c>
      <c r="R11" s="15"/>
      <c r="S11" s="15"/>
      <c r="T11" s="15"/>
      <c r="U11" s="15"/>
      <c r="V11" s="15"/>
    </row>
    <row r="12" spans="1:22" x14ac:dyDescent="0.25">
      <c r="A12" s="27">
        <f>Saddle_Angle_Zick</f>
        <v>120</v>
      </c>
      <c r="B12" s="27">
        <f t="shared" ref="B12:B43" si="0">A12*Deg_to_Rad</f>
        <v>2.0943951023931953</v>
      </c>
      <c r="C12" s="60">
        <f t="shared" ref="C12:C43" si="1">(180-A12*0.5)*Deg_to_Rad</f>
        <v>2.0943951023931953</v>
      </c>
      <c r="D12" s="61" t="e">
        <f t="shared" ref="D12:D43" si="2">IF(Load_Case=1,ABS(((FA_SUS*D*0.5)/PI())*(COS(C12)+(0.5*C12*SIN(C12))-(1.5*SIN(C12)/C12)+(0.5*COS(C12))-(0.25*(COS(C12)-SIN(C12)/C12 ))*(9-(4-6*(SIN(C12)/C12)^2 +(2*(COS(C12))^2))/((SIN(C12)/C12)*COS(C12)+1-(2*(SIN(C12)/C12)^2 ))))),NA())</f>
        <v>#N/A</v>
      </c>
      <c r="E12" s="58" t="e">
        <f t="shared" ref="E12:E43" si="3">IF(Load_Case=1,0.25*FA_SUS,NA())</f>
        <v>#N/A</v>
      </c>
      <c r="F12" s="58" t="e">
        <f t="shared" ref="F12:F43" si="4">IF(SC_mem,(E12*1000/(4*tnet_Saddle_Zick*(4*0.5*D+1.56*SQRT((0.5*D*tnet_Saddle_Zick))))),NA())</f>
        <v>#N/A</v>
      </c>
      <c r="G12" s="102" t="e">
        <f t="shared" ref="G12:G43" si="5">IF(SC_bend,D12*1000/(4*0.5*D*tnet_Saddle_Zick^2/6),NA())</f>
        <v>#N/A</v>
      </c>
      <c r="H12" s="61">
        <f t="shared" ref="H12:H43" si="6">IF(Load_Case=2,ABS(((FA_EXP*D*0.5)/PI())*(COS(C12)+(0.5*C12*SIN(C12))-(1.5*SIN(C12)/C12)+(0.5*COS(C12))-(0.25*(COS(C12)-SIN(C12)/C12 ))*(9-(4-6*(SIN(C12)/C12)^2 +(2*(COS(C12))^2))/((SIN(C12)/C12)*COS(C12)+1-(2*(SIN(C12)/C12)^2 ))))),NA())</f>
        <v>80.546041672565153</v>
      </c>
      <c r="I12" s="58">
        <f t="shared" ref="I12:I43" si="7">IF(Load_Case=2,0.25*FA_EXP,NA())</f>
        <v>1.25</v>
      </c>
      <c r="J12" s="58">
        <f t="shared" ref="J12:J43" si="8">IF(SC_mem,(I12*1000/(4*tnet_Saddle_Zick*(4*0.5*D+1.56*SQRT((0.5*D*tnet_Saddle_Zick))))),NA())</f>
        <v>2.2249595143146381E-2</v>
      </c>
      <c r="K12" s="62">
        <f t="shared" ref="K12:K43" si="9">IF(SC_bend,H12*1000/(4*0.5*D*tnet_Saddle_Zick^2/6),NA())</f>
        <v>3.4400675668586933</v>
      </c>
      <c r="L12" s="22">
        <v>0</v>
      </c>
      <c r="M12" s="22">
        <f t="shared" ref="M12:M43" si="10">L12*Deg_to_Rad</f>
        <v>0</v>
      </c>
      <c r="N12" s="63" t="e">
        <f t="shared" ref="N12:N43" si="11">IF(Load_Case=1,ABS(((FA_SUS*D*0.5)/PI())*(COS(M12)+(0.5*M12*SIN(M12))-(1.5*SIN(Beta)/Beta)+(0.5*COS(Beta))-(0.25*(COS(M12)-SIN(Beta)/Beta))*(9-(4-6*(SIN(Beta)/Beta)^2 +(2*(COS(Beta))^2))/((SIN(Beta)/Beta)*COS(Beta)+1-(2*(SIN(Beta)/Beta)^2 ))))),NA())</f>
        <v>#N/A</v>
      </c>
      <c r="O12" s="21" t="e">
        <f t="shared" ref="O12:O43" si="12">N12*1000/(4*0.5*D*tnet_Saddle_Zick^2/6)</f>
        <v>#N/A</v>
      </c>
      <c r="P12" s="63">
        <f t="shared" ref="P12:P43" si="13">IF(Load_Case=2,ABS(((FA_EXP*D*0.5)/PI())*(COS(M12)+(0.5*M12*SIN(M12))-(1.5*SIN(Beta)/Beta)+(0.5*COS(Beta))-(0.25*(COS(M12)-SIN(Beta)/Beta))*(9-(4-6*(SIN(Beta)/Beta)^2 +(2*(COS(Beta))^2))/((SIN(Beta)/Beta)*COS(Beta)+1-(2*(SIN(Beta)/Beta)^2 ))))),NA())</f>
        <v>29.65366353221307</v>
      </c>
      <c r="Q12" s="21">
        <f t="shared" ref="Q12:Q43" si="14">P12*1000/(4*0.5*D*tnet_Saddle_Zick^2/6)</f>
        <v>1.2664881356975792</v>
      </c>
    </row>
    <row r="13" spans="1:22" x14ac:dyDescent="0.25">
      <c r="A13" s="26">
        <f t="shared" ref="A13:A44" si="15">IF((A12+SaddleAngle_Increment)&gt;Maz_zick_saddleangle,NA(),A12+SaddleAngle_Increment)</f>
        <v>121</v>
      </c>
      <c r="B13" s="135">
        <f t="shared" si="0"/>
        <v>2.1118483949131388</v>
      </c>
      <c r="C13" s="136">
        <f t="shared" si="1"/>
        <v>2.0856684561332237</v>
      </c>
      <c r="D13" s="61" t="e">
        <f t="shared" si="2"/>
        <v>#N/A</v>
      </c>
      <c r="E13" s="58" t="e">
        <f t="shared" si="3"/>
        <v>#N/A</v>
      </c>
      <c r="F13" s="58" t="e">
        <f t="shared" si="4"/>
        <v>#N/A</v>
      </c>
      <c r="G13" s="102" t="e">
        <f t="shared" si="5"/>
        <v>#N/A</v>
      </c>
      <c r="H13" s="61">
        <f t="shared" si="6"/>
        <v>79.273569263125339</v>
      </c>
      <c r="I13" s="58">
        <f t="shared" si="7"/>
        <v>1.25</v>
      </c>
      <c r="J13" s="58">
        <f t="shared" si="8"/>
        <v>2.2249595143146381E-2</v>
      </c>
      <c r="K13" s="62">
        <f t="shared" si="9"/>
        <v>3.3857211213408438</v>
      </c>
      <c r="L13" s="22">
        <f t="shared" ref="L13:L44" si="16">IF((L12+1)&gt;Beta_Deg,NA(),L12+1)</f>
        <v>1</v>
      </c>
      <c r="M13" s="22">
        <f t="shared" si="10"/>
        <v>1.7453292519943295E-2</v>
      </c>
      <c r="N13" s="142" t="e">
        <f t="shared" si="11"/>
        <v>#N/A</v>
      </c>
      <c r="O13" s="144" t="e">
        <f t="shared" si="12"/>
        <v>#N/A</v>
      </c>
      <c r="P13" s="142">
        <f t="shared" si="13"/>
        <v>29.629619202592114</v>
      </c>
      <c r="Q13" s="144">
        <f t="shared" si="14"/>
        <v>1.2654612184614455</v>
      </c>
    </row>
    <row r="14" spans="1:22" x14ac:dyDescent="0.25">
      <c r="A14" s="140">
        <f t="shared" si="15"/>
        <v>122</v>
      </c>
      <c r="B14" s="135">
        <f t="shared" si="0"/>
        <v>2.1293016874330819</v>
      </c>
      <c r="C14" s="136">
        <f t="shared" si="1"/>
        <v>2.0769418098732522</v>
      </c>
      <c r="D14" s="61" t="e">
        <f t="shared" si="2"/>
        <v>#N/A</v>
      </c>
      <c r="E14" s="58" t="e">
        <f t="shared" si="3"/>
        <v>#N/A</v>
      </c>
      <c r="F14" s="58" t="e">
        <f t="shared" si="4"/>
        <v>#N/A</v>
      </c>
      <c r="G14" s="102" t="e">
        <f t="shared" si="5"/>
        <v>#N/A</v>
      </c>
      <c r="H14" s="61">
        <f t="shared" si="6"/>
        <v>78.015529011572454</v>
      </c>
      <c r="I14" s="58">
        <f t="shared" si="7"/>
        <v>1.25</v>
      </c>
      <c r="J14" s="58">
        <f t="shared" si="8"/>
        <v>2.2249595143146381E-2</v>
      </c>
      <c r="K14" s="62">
        <f t="shared" si="9"/>
        <v>3.3319910636334407</v>
      </c>
      <c r="L14" s="22">
        <f t="shared" si="16"/>
        <v>2</v>
      </c>
      <c r="M14" s="22">
        <f t="shared" si="10"/>
        <v>3.4906585039886591E-2</v>
      </c>
      <c r="N14" s="142" t="e">
        <f t="shared" si="11"/>
        <v>#N/A</v>
      </c>
      <c r="O14" s="144" t="e">
        <f t="shared" si="12"/>
        <v>#N/A</v>
      </c>
      <c r="P14" s="142">
        <f t="shared" si="13"/>
        <v>29.557516042993388</v>
      </c>
      <c r="Q14" s="144">
        <f t="shared" si="14"/>
        <v>1.2623817407409643</v>
      </c>
    </row>
    <row r="15" spans="1:22" x14ac:dyDescent="0.25">
      <c r="A15" s="140">
        <f t="shared" si="15"/>
        <v>123</v>
      </c>
      <c r="B15" s="135">
        <f t="shared" si="0"/>
        <v>2.1467549799530254</v>
      </c>
      <c r="C15" s="136">
        <f t="shared" si="1"/>
        <v>2.0682151636132806</v>
      </c>
      <c r="D15" s="61" t="e">
        <f t="shared" si="2"/>
        <v>#N/A</v>
      </c>
      <c r="E15" s="58" t="e">
        <f t="shared" si="3"/>
        <v>#N/A</v>
      </c>
      <c r="F15" s="58" t="e">
        <f t="shared" si="4"/>
        <v>#N/A</v>
      </c>
      <c r="G15" s="102" t="e">
        <f t="shared" si="5"/>
        <v>#N/A</v>
      </c>
      <c r="H15" s="61">
        <f t="shared" si="6"/>
        <v>76.771827789337195</v>
      </c>
      <c r="I15" s="58">
        <f t="shared" si="7"/>
        <v>1.25</v>
      </c>
      <c r="J15" s="58">
        <f t="shared" si="8"/>
        <v>2.2249595143146381E-2</v>
      </c>
      <c r="K15" s="62">
        <f t="shared" si="9"/>
        <v>3.2788734162775772</v>
      </c>
      <c r="L15" s="22">
        <f t="shared" si="16"/>
        <v>3</v>
      </c>
      <c r="M15" s="22">
        <f t="shared" si="10"/>
        <v>5.235987755982989E-2</v>
      </c>
      <c r="N15" s="142" t="e">
        <f t="shared" si="11"/>
        <v>#N/A</v>
      </c>
      <c r="O15" s="144" t="e">
        <f t="shared" si="12"/>
        <v>#N/A</v>
      </c>
      <c r="P15" s="142">
        <f t="shared" si="13"/>
        <v>29.43744352526781</v>
      </c>
      <c r="Q15" s="144">
        <f t="shared" si="14"/>
        <v>1.2572535238190454</v>
      </c>
    </row>
    <row r="16" spans="1:22" x14ac:dyDescent="0.25">
      <c r="A16" s="140">
        <f t="shared" si="15"/>
        <v>124</v>
      </c>
      <c r="B16" s="135">
        <f t="shared" si="0"/>
        <v>2.1642082724729685</v>
      </c>
      <c r="C16" s="136">
        <f t="shared" si="1"/>
        <v>2.0594885173533091</v>
      </c>
      <c r="D16" s="61" t="e">
        <f t="shared" si="2"/>
        <v>#N/A</v>
      </c>
      <c r="E16" s="58" t="e">
        <f t="shared" si="3"/>
        <v>#N/A</v>
      </c>
      <c r="F16" s="58" t="e">
        <f t="shared" si="4"/>
        <v>#N/A</v>
      </c>
      <c r="G16" s="102" t="e">
        <f t="shared" si="5"/>
        <v>#N/A</v>
      </c>
      <c r="H16" s="61">
        <f t="shared" si="6"/>
        <v>75.54237245433464</v>
      </c>
      <c r="I16" s="58">
        <f t="shared" si="7"/>
        <v>1.25</v>
      </c>
      <c r="J16" s="58">
        <f t="shared" si="8"/>
        <v>2.2249595143146381E-2</v>
      </c>
      <c r="K16" s="62">
        <f t="shared" si="9"/>
        <v>3.2263642012371032</v>
      </c>
      <c r="L16" s="22">
        <f t="shared" si="16"/>
        <v>4</v>
      </c>
      <c r="M16" s="22">
        <f t="shared" si="10"/>
        <v>6.9813170079773182E-2</v>
      </c>
      <c r="N16" s="142" t="e">
        <f t="shared" si="11"/>
        <v>#N/A</v>
      </c>
      <c r="O16" s="144" t="e">
        <f t="shared" si="12"/>
        <v>#N/A</v>
      </c>
      <c r="P16" s="142">
        <f t="shared" si="13"/>
        <v>29.269550716035042</v>
      </c>
      <c r="Q16" s="144">
        <f t="shared" si="14"/>
        <v>1.250082934231312</v>
      </c>
    </row>
    <row r="17" spans="1:17" x14ac:dyDescent="0.25">
      <c r="A17" s="140">
        <f t="shared" si="15"/>
        <v>125</v>
      </c>
      <c r="B17" s="135">
        <f t="shared" si="0"/>
        <v>2.1816615649929121</v>
      </c>
      <c r="C17" s="136">
        <f t="shared" si="1"/>
        <v>2.0507618710933371</v>
      </c>
      <c r="D17" s="61" t="e">
        <f t="shared" si="2"/>
        <v>#N/A</v>
      </c>
      <c r="E17" s="58" t="e">
        <f t="shared" si="3"/>
        <v>#N/A</v>
      </c>
      <c r="F17" s="58" t="e">
        <f t="shared" si="4"/>
        <v>#N/A</v>
      </c>
      <c r="G17" s="102" t="e">
        <f t="shared" si="5"/>
        <v>#N/A</v>
      </c>
      <c r="H17" s="61">
        <f t="shared" si="6"/>
        <v>74.327069855656248</v>
      </c>
      <c r="I17" s="58">
        <f t="shared" si="7"/>
        <v>1.25</v>
      </c>
      <c r="J17" s="58">
        <f t="shared" si="8"/>
        <v>2.2249595143146381E-2</v>
      </c>
      <c r="K17" s="62">
        <f t="shared" si="9"/>
        <v>3.1744594400990196</v>
      </c>
      <c r="L17" s="22">
        <f t="shared" si="16"/>
        <v>5</v>
      </c>
      <c r="M17" s="22">
        <f t="shared" si="10"/>
        <v>8.7266462599716474E-2</v>
      </c>
      <c r="N17" s="142" t="e">
        <f t="shared" si="11"/>
        <v>#N/A</v>
      </c>
      <c r="O17" s="144" t="e">
        <f t="shared" si="12"/>
        <v>#N/A</v>
      </c>
      <c r="P17" s="142">
        <f t="shared" si="13"/>
        <v>29.054046197010937</v>
      </c>
      <c r="Q17" s="144">
        <f t="shared" si="14"/>
        <v>1.2408788803633388</v>
      </c>
    </row>
    <row r="18" spans="1:17" x14ac:dyDescent="0.25">
      <c r="A18" s="140">
        <f t="shared" si="15"/>
        <v>126</v>
      </c>
      <c r="B18" s="135">
        <f t="shared" si="0"/>
        <v>2.1991148575128552</v>
      </c>
      <c r="C18" s="136">
        <f t="shared" si="1"/>
        <v>2.0420352248333655</v>
      </c>
      <c r="D18" s="61" t="e">
        <f t="shared" si="2"/>
        <v>#N/A</v>
      </c>
      <c r="E18" s="58" t="e">
        <f t="shared" si="3"/>
        <v>#N/A</v>
      </c>
      <c r="F18" s="58" t="e">
        <f t="shared" si="4"/>
        <v>#N/A</v>
      </c>
      <c r="G18" s="102" t="e">
        <f t="shared" si="5"/>
        <v>#N/A</v>
      </c>
      <c r="H18" s="61">
        <f t="shared" si="6"/>
        <v>73.125826838213101</v>
      </c>
      <c r="I18" s="58">
        <f t="shared" si="7"/>
        <v>1.25</v>
      </c>
      <c r="J18" s="58">
        <f t="shared" si="8"/>
        <v>2.2249595143146381E-2</v>
      </c>
      <c r="K18" s="62">
        <f t="shared" si="9"/>
        <v>3.1231551542717852</v>
      </c>
      <c r="L18" s="22">
        <f t="shared" si="16"/>
        <v>6</v>
      </c>
      <c r="M18" s="22">
        <f t="shared" si="10"/>
        <v>0.10471975511965978</v>
      </c>
      <c r="N18" s="142" t="e">
        <f t="shared" si="11"/>
        <v>#N/A</v>
      </c>
      <c r="O18" s="144" t="e">
        <f t="shared" si="12"/>
        <v>#N/A</v>
      </c>
      <c r="P18" s="142">
        <f t="shared" si="13"/>
        <v>28.791197953513255</v>
      </c>
      <c r="Q18" s="144">
        <f t="shared" si="14"/>
        <v>1.2296528076888062</v>
      </c>
    </row>
    <row r="19" spans="1:17" x14ac:dyDescent="0.25">
      <c r="A19" s="140">
        <f t="shared" si="15"/>
        <v>127</v>
      </c>
      <c r="B19" s="135">
        <f t="shared" si="0"/>
        <v>2.2165681500327987</v>
      </c>
      <c r="C19" s="136">
        <f t="shared" si="1"/>
        <v>2.033308578573394</v>
      </c>
      <c r="D19" s="61" t="e">
        <f t="shared" si="2"/>
        <v>#N/A</v>
      </c>
      <c r="E19" s="58" t="e">
        <f t="shared" si="3"/>
        <v>#N/A</v>
      </c>
      <c r="F19" s="58" t="e">
        <f t="shared" si="4"/>
        <v>#N/A</v>
      </c>
      <c r="G19" s="102" t="e">
        <f t="shared" si="5"/>
        <v>#N/A</v>
      </c>
      <c r="H19" s="61">
        <f t="shared" si="6"/>
        <v>71.938550247327598</v>
      </c>
      <c r="I19" s="58">
        <f t="shared" si="7"/>
        <v>1.25</v>
      </c>
      <c r="J19" s="58">
        <f t="shared" si="8"/>
        <v>2.2249595143146381E-2</v>
      </c>
      <c r="K19" s="62">
        <f t="shared" si="9"/>
        <v>3.072447365181425</v>
      </c>
      <c r="L19" s="22">
        <f t="shared" si="16"/>
        <v>7</v>
      </c>
      <c r="M19" s="22">
        <f t="shared" si="10"/>
        <v>0.12217304763960307</v>
      </c>
      <c r="N19" s="142" t="e">
        <f t="shared" si="11"/>
        <v>#N/A</v>
      </c>
      <c r="O19" s="144" t="e">
        <f t="shared" si="12"/>
        <v>#N/A</v>
      </c>
      <c r="P19" s="142">
        <f t="shared" si="13"/>
        <v>28.481333231196114</v>
      </c>
      <c r="Q19" s="144">
        <f t="shared" si="14"/>
        <v>1.2164186926507241</v>
      </c>
    </row>
    <row r="20" spans="1:17" x14ac:dyDescent="0.25">
      <c r="A20" s="140">
        <f t="shared" si="15"/>
        <v>128</v>
      </c>
      <c r="B20" s="135">
        <f t="shared" si="0"/>
        <v>2.2340214425527418</v>
      </c>
      <c r="C20" s="136">
        <f t="shared" si="1"/>
        <v>2.0245819323134224</v>
      </c>
      <c r="D20" s="61" t="e">
        <f t="shared" si="2"/>
        <v>#N/A</v>
      </c>
      <c r="E20" s="58" t="e">
        <f t="shared" si="3"/>
        <v>#N/A</v>
      </c>
      <c r="F20" s="58" t="e">
        <f t="shared" si="4"/>
        <v>#N/A</v>
      </c>
      <c r="G20" s="102" t="e">
        <f t="shared" si="5"/>
        <v>#N/A</v>
      </c>
      <c r="H20" s="61">
        <f t="shared" si="6"/>
        <v>70.765146933278032</v>
      </c>
      <c r="I20" s="58">
        <f t="shared" si="7"/>
        <v>1.25</v>
      </c>
      <c r="J20" s="58">
        <f t="shared" si="8"/>
        <v>2.2249595143146381E-2</v>
      </c>
      <c r="K20" s="62">
        <f t="shared" si="9"/>
        <v>3.0223320944656287</v>
      </c>
      <c r="L20" s="22">
        <f t="shared" si="16"/>
        <v>8</v>
      </c>
      <c r="M20" s="22">
        <f t="shared" si="10"/>
        <v>0.13962634015954636</v>
      </c>
      <c r="N20" s="142" t="e">
        <f t="shared" si="11"/>
        <v>#N/A</v>
      </c>
      <c r="O20" s="144" t="e">
        <f t="shared" si="12"/>
        <v>#N/A</v>
      </c>
      <c r="P20" s="142">
        <f t="shared" si="13"/>
        <v>28.124838361074449</v>
      </c>
      <c r="Q20" s="144">
        <f t="shared" si="14"/>
        <v>1.2011930351883444</v>
      </c>
    </row>
    <row r="21" spans="1:17" x14ac:dyDescent="0.25">
      <c r="A21" s="140">
        <f t="shared" si="15"/>
        <v>129</v>
      </c>
      <c r="B21" s="135">
        <f t="shared" si="0"/>
        <v>2.2514747350726849</v>
      </c>
      <c r="C21" s="136">
        <f t="shared" si="1"/>
        <v>2.0158552860534504</v>
      </c>
      <c r="D21" s="61" t="e">
        <f t="shared" si="2"/>
        <v>#N/A</v>
      </c>
      <c r="E21" s="58" t="e">
        <f t="shared" si="3"/>
        <v>#N/A</v>
      </c>
      <c r="F21" s="58" t="e">
        <f t="shared" si="4"/>
        <v>#N/A</v>
      </c>
      <c r="G21" s="102" t="e">
        <f t="shared" si="5"/>
        <v>#N/A</v>
      </c>
      <c r="H21" s="61">
        <f t="shared" si="6"/>
        <v>69.605523755800817</v>
      </c>
      <c r="I21" s="58">
        <f t="shared" si="7"/>
        <v>1.25</v>
      </c>
      <c r="J21" s="58">
        <f t="shared" si="8"/>
        <v>2.2249595143146381E-2</v>
      </c>
      <c r="K21" s="62">
        <f t="shared" si="9"/>
        <v>2.9728053641660352</v>
      </c>
      <c r="L21" s="22">
        <f t="shared" si="16"/>
        <v>9</v>
      </c>
      <c r="M21" s="22">
        <f t="shared" si="10"/>
        <v>0.15707963267948966</v>
      </c>
      <c r="N21" s="142" t="e">
        <f t="shared" si="11"/>
        <v>#N/A</v>
      </c>
      <c r="O21" s="144" t="e">
        <f t="shared" si="12"/>
        <v>#N/A</v>
      </c>
      <c r="P21" s="142">
        <f t="shared" si="13"/>
        <v>27.72215855291525</v>
      </c>
      <c r="Q21" s="144">
        <f t="shared" si="14"/>
        <v>1.1839948499130379</v>
      </c>
    </row>
    <row r="22" spans="1:17" x14ac:dyDescent="0.25">
      <c r="A22" s="140">
        <f t="shared" si="15"/>
        <v>130</v>
      </c>
      <c r="B22" s="135">
        <f t="shared" si="0"/>
        <v>2.2689280275926285</v>
      </c>
      <c r="C22" s="136">
        <f t="shared" si="1"/>
        <v>2.0071286397934789</v>
      </c>
      <c r="D22" s="61" t="e">
        <f t="shared" si="2"/>
        <v>#N/A</v>
      </c>
      <c r="E22" s="58" t="e">
        <f t="shared" si="3"/>
        <v>#N/A</v>
      </c>
      <c r="F22" s="58" t="e">
        <f t="shared" si="4"/>
        <v>#N/A</v>
      </c>
      <c r="G22" s="102" t="e">
        <f t="shared" si="5"/>
        <v>#N/A</v>
      </c>
      <c r="H22" s="61">
        <f t="shared" si="6"/>
        <v>68.4595875885434</v>
      </c>
      <c r="I22" s="58">
        <f t="shared" si="7"/>
        <v>1.25</v>
      </c>
      <c r="J22" s="58">
        <f t="shared" si="8"/>
        <v>2.2249595143146381E-2</v>
      </c>
      <c r="K22" s="62">
        <f t="shared" si="9"/>
        <v>2.9238631969184126</v>
      </c>
      <c r="L22" s="22">
        <f t="shared" si="16"/>
        <v>10</v>
      </c>
      <c r="M22" s="22">
        <f t="shared" si="10"/>
        <v>0.17453292519943295</v>
      </c>
      <c r="N22" s="142" t="e">
        <f t="shared" si="11"/>
        <v>#N/A</v>
      </c>
      <c r="O22" s="144" t="e">
        <f t="shared" si="12"/>
        <v>#N/A</v>
      </c>
      <c r="P22" s="142">
        <f t="shared" si="13"/>
        <v>27.273797657085073</v>
      </c>
      <c r="Q22" s="144">
        <f t="shared" si="14"/>
        <v>1.1648456559369611</v>
      </c>
    </row>
    <row r="23" spans="1:17" x14ac:dyDescent="0.25">
      <c r="A23" s="140">
        <f t="shared" si="15"/>
        <v>131</v>
      </c>
      <c r="B23" s="135">
        <f t="shared" si="0"/>
        <v>2.2863813201125716</v>
      </c>
      <c r="C23" s="136">
        <f t="shared" si="1"/>
        <v>1.9984019935335073</v>
      </c>
      <c r="D23" s="61" t="e">
        <f t="shared" si="2"/>
        <v>#N/A</v>
      </c>
      <c r="E23" s="58" t="e">
        <f t="shared" si="3"/>
        <v>#N/A</v>
      </c>
      <c r="F23" s="58" t="e">
        <f t="shared" si="4"/>
        <v>#N/A</v>
      </c>
      <c r="G23" s="102" t="e">
        <f t="shared" si="5"/>
        <v>#N/A</v>
      </c>
      <c r="H23" s="61">
        <f t="shared" si="6"/>
        <v>67.327245323480781</v>
      </c>
      <c r="I23" s="58">
        <f t="shared" si="7"/>
        <v>1.25</v>
      </c>
      <c r="J23" s="58">
        <f t="shared" si="8"/>
        <v>2.2249595143146381E-2</v>
      </c>
      <c r="K23" s="62">
        <f t="shared" si="9"/>
        <v>2.8755016161412903</v>
      </c>
      <c r="L23" s="22">
        <f t="shared" si="16"/>
        <v>11</v>
      </c>
      <c r="M23" s="22">
        <f t="shared" si="10"/>
        <v>0.19198621771937624</v>
      </c>
      <c r="N23" s="142" t="e">
        <f t="shared" si="11"/>
        <v>#N/A</v>
      </c>
      <c r="O23" s="144" t="e">
        <f t="shared" si="12"/>
        <v>#N/A</v>
      </c>
      <c r="P23" s="142">
        <f t="shared" si="13"/>
        <v>26.780317894958003</v>
      </c>
      <c r="Q23" s="144">
        <f t="shared" si="14"/>
        <v>1.1437694653589616</v>
      </c>
    </row>
    <row r="24" spans="1:17" x14ac:dyDescent="0.25">
      <c r="A24" s="140">
        <f t="shared" si="15"/>
        <v>132</v>
      </c>
      <c r="B24" s="135">
        <f t="shared" si="0"/>
        <v>2.3038346126325151</v>
      </c>
      <c r="C24" s="136">
        <f t="shared" si="1"/>
        <v>1.9896753472735358</v>
      </c>
      <c r="D24" s="61" t="e">
        <f t="shared" si="2"/>
        <v>#N/A</v>
      </c>
      <c r="E24" s="58" t="e">
        <f t="shared" si="3"/>
        <v>#N/A</v>
      </c>
      <c r="F24" s="58" t="e">
        <f t="shared" si="4"/>
        <v>#N/A</v>
      </c>
      <c r="G24" s="102" t="e">
        <f t="shared" si="5"/>
        <v>#N/A</v>
      </c>
      <c r="H24" s="61">
        <f t="shared" si="6"/>
        <v>66.208403875287971</v>
      </c>
      <c r="I24" s="58">
        <f t="shared" si="7"/>
        <v>1.25</v>
      </c>
      <c r="J24" s="58">
        <f t="shared" si="8"/>
        <v>2.2249595143146381E-2</v>
      </c>
      <c r="K24" s="62">
        <f t="shared" si="9"/>
        <v>2.8277166462226972</v>
      </c>
      <c r="L24" s="22">
        <f t="shared" si="16"/>
        <v>12</v>
      </c>
      <c r="M24" s="22">
        <f t="shared" si="10"/>
        <v>0.20943951023931956</v>
      </c>
      <c r="N24" s="142" t="e">
        <f t="shared" si="11"/>
        <v>#N/A</v>
      </c>
      <c r="O24" s="144" t="e">
        <f t="shared" si="12"/>
        <v>#N/A</v>
      </c>
      <c r="P24" s="142">
        <f t="shared" si="13"/>
        <v>26.242339558002083</v>
      </c>
      <c r="Q24" s="144">
        <f t="shared" si="14"/>
        <v>1.1207927704127594</v>
      </c>
    </row>
    <row r="25" spans="1:17" x14ac:dyDescent="0.25">
      <c r="A25" s="140">
        <f t="shared" si="15"/>
        <v>133</v>
      </c>
      <c r="B25" s="135">
        <f t="shared" si="0"/>
        <v>2.3212879051524582</v>
      </c>
      <c r="C25" s="136">
        <f t="shared" si="1"/>
        <v>1.980948701013564</v>
      </c>
      <c r="D25" s="61" t="e">
        <f t="shared" si="2"/>
        <v>#N/A</v>
      </c>
      <c r="E25" s="58" t="e">
        <f t="shared" si="3"/>
        <v>#N/A</v>
      </c>
      <c r="F25" s="58" t="e">
        <f t="shared" si="4"/>
        <v>#N/A</v>
      </c>
      <c r="G25" s="102" t="e">
        <f t="shared" si="5"/>
        <v>#N/A</v>
      </c>
      <c r="H25" s="61">
        <f t="shared" si="6"/>
        <v>65.102970185674735</v>
      </c>
      <c r="I25" s="58">
        <f t="shared" si="7"/>
        <v>1.25</v>
      </c>
      <c r="J25" s="58">
        <f t="shared" si="8"/>
        <v>2.2249595143146381E-2</v>
      </c>
      <c r="K25" s="62">
        <f t="shared" si="9"/>
        <v>2.7805043127052986</v>
      </c>
      <c r="L25" s="22">
        <f t="shared" si="16"/>
        <v>13</v>
      </c>
      <c r="M25" s="22">
        <f t="shared" si="10"/>
        <v>0.22689280275926285</v>
      </c>
      <c r="N25" s="142" t="e">
        <f t="shared" si="11"/>
        <v>#N/A</v>
      </c>
      <c r="O25" s="144" t="e">
        <f t="shared" si="12"/>
        <v>#N/A</v>
      </c>
      <c r="P25" s="142">
        <f t="shared" si="13"/>
        <v>25.660540675673744</v>
      </c>
      <c r="Q25" s="144">
        <f t="shared" si="14"/>
        <v>1.0959445292829402</v>
      </c>
    </row>
    <row r="26" spans="1:17" x14ac:dyDescent="0.25">
      <c r="A26" s="140">
        <f t="shared" si="15"/>
        <v>134</v>
      </c>
      <c r="B26" s="135">
        <f t="shared" si="0"/>
        <v>2.3387411976724017</v>
      </c>
      <c r="C26" s="136">
        <f t="shared" si="1"/>
        <v>1.9722220547535925</v>
      </c>
      <c r="D26" s="61" t="e">
        <f t="shared" si="2"/>
        <v>#N/A</v>
      </c>
      <c r="E26" s="58" t="e">
        <f t="shared" si="3"/>
        <v>#N/A</v>
      </c>
      <c r="F26" s="58" t="e">
        <f t="shared" si="4"/>
        <v>#N/A</v>
      </c>
      <c r="G26" s="102" t="e">
        <f t="shared" si="5"/>
        <v>#N/A</v>
      </c>
      <c r="H26" s="61">
        <f t="shared" si="6"/>
        <v>64.010851227685166</v>
      </c>
      <c r="I26" s="58">
        <f t="shared" si="7"/>
        <v>1.25</v>
      </c>
      <c r="J26" s="58">
        <f t="shared" si="8"/>
        <v>2.2249595143146381E-2</v>
      </c>
      <c r="K26" s="62">
        <f t="shared" si="9"/>
        <v>2.7338606424700291</v>
      </c>
      <c r="L26" s="22">
        <f t="shared" si="16"/>
        <v>14</v>
      </c>
      <c r="M26" s="22">
        <f t="shared" si="10"/>
        <v>0.24434609527920614</v>
      </c>
      <c r="N26" s="142" t="e">
        <f t="shared" si="11"/>
        <v>#N/A</v>
      </c>
      <c r="O26" s="144" t="e">
        <f t="shared" si="12"/>
        <v>#N/A</v>
      </c>
      <c r="P26" s="142">
        <f t="shared" si="13"/>
        <v>25.035656652266752</v>
      </c>
      <c r="Q26" s="144">
        <f t="shared" si="14"/>
        <v>1.0692561505950182</v>
      </c>
    </row>
    <row r="27" spans="1:17" x14ac:dyDescent="0.25">
      <c r="A27" s="140">
        <f t="shared" si="15"/>
        <v>135</v>
      </c>
      <c r="B27" s="135">
        <f t="shared" si="0"/>
        <v>2.3561944901923448</v>
      </c>
      <c r="C27" s="136">
        <f t="shared" si="1"/>
        <v>1.9634954084936207</v>
      </c>
      <c r="D27" s="61" t="e">
        <f t="shared" si="2"/>
        <v>#N/A</v>
      </c>
      <c r="E27" s="58" t="e">
        <f t="shared" si="3"/>
        <v>#N/A</v>
      </c>
      <c r="F27" s="58" t="e">
        <f t="shared" si="4"/>
        <v>#N/A</v>
      </c>
      <c r="G27" s="102" t="e">
        <f t="shared" si="5"/>
        <v>#N/A</v>
      </c>
      <c r="H27" s="61">
        <f t="shared" si="6"/>
        <v>62.93195400995652</v>
      </c>
      <c r="I27" s="58">
        <f t="shared" si="7"/>
        <v>1.25</v>
      </c>
      <c r="J27" s="58">
        <f t="shared" si="8"/>
        <v>2.2249595143146381E-2</v>
      </c>
      <c r="K27" s="62">
        <f t="shared" si="9"/>
        <v>2.6877816639179821</v>
      </c>
      <c r="L27" s="22">
        <f t="shared" si="16"/>
        <v>15</v>
      </c>
      <c r="M27" s="22">
        <f t="shared" si="10"/>
        <v>0.26179938779914941</v>
      </c>
      <c r="N27" s="142" t="e">
        <f t="shared" si="11"/>
        <v>#N/A</v>
      </c>
      <c r="O27" s="144" t="e">
        <f t="shared" si="12"/>
        <v>#N/A</v>
      </c>
      <c r="P27" s="142">
        <f t="shared" si="13"/>
        <v>24.368479872873145</v>
      </c>
      <c r="Q27" s="144">
        <f t="shared" si="14"/>
        <v>1.0407614765862898</v>
      </c>
    </row>
    <row r="28" spans="1:17" x14ac:dyDescent="0.25">
      <c r="A28" s="140">
        <f t="shared" si="15"/>
        <v>136</v>
      </c>
      <c r="B28" s="135">
        <f t="shared" si="0"/>
        <v>2.3736477827122884</v>
      </c>
      <c r="C28" s="136">
        <f t="shared" si="1"/>
        <v>1.9547687622336491</v>
      </c>
      <c r="D28" s="61" t="e">
        <f t="shared" si="2"/>
        <v>#N/A</v>
      </c>
      <c r="E28" s="58" t="e">
        <f t="shared" si="3"/>
        <v>#N/A</v>
      </c>
      <c r="F28" s="58" t="e">
        <f t="shared" si="4"/>
        <v>#N/A</v>
      </c>
      <c r="G28" s="102" t="e">
        <f t="shared" si="5"/>
        <v>#N/A</v>
      </c>
      <c r="H28" s="61">
        <f t="shared" si="6"/>
        <v>61.866185580950315</v>
      </c>
      <c r="I28" s="58">
        <f t="shared" si="7"/>
        <v>1.25</v>
      </c>
      <c r="J28" s="58">
        <f t="shared" si="8"/>
        <v>2.2249595143146381E-2</v>
      </c>
      <c r="K28" s="62">
        <f t="shared" si="9"/>
        <v>2.6422634071511202</v>
      </c>
      <c r="L28" s="22">
        <f t="shared" si="16"/>
        <v>16</v>
      </c>
      <c r="M28" s="22">
        <f t="shared" si="10"/>
        <v>0.27925268031909273</v>
      </c>
      <c r="N28" s="142" t="e">
        <f t="shared" si="11"/>
        <v>#N/A</v>
      </c>
      <c r="O28" s="144" t="e">
        <f t="shared" si="12"/>
        <v>#N/A</v>
      </c>
      <c r="P28" s="142">
        <f t="shared" si="13"/>
        <v>23.659859278627962</v>
      </c>
      <c r="Q28" s="144">
        <f t="shared" si="14"/>
        <v>1.0104967649648211</v>
      </c>
    </row>
    <row r="29" spans="1:17" x14ac:dyDescent="0.25">
      <c r="A29" s="140">
        <f t="shared" si="15"/>
        <v>137</v>
      </c>
      <c r="B29" s="135">
        <f t="shared" si="0"/>
        <v>2.3911010752322315</v>
      </c>
      <c r="C29" s="136">
        <f t="shared" si="1"/>
        <v>1.9460421159736774</v>
      </c>
      <c r="D29" s="61" t="e">
        <f t="shared" si="2"/>
        <v>#N/A</v>
      </c>
      <c r="E29" s="58" t="e">
        <f t="shared" si="3"/>
        <v>#N/A</v>
      </c>
      <c r="F29" s="58" t="e">
        <f t="shared" si="4"/>
        <v>#N/A</v>
      </c>
      <c r="G29" s="102" t="e">
        <f t="shared" si="5"/>
        <v>#N/A</v>
      </c>
      <c r="H29" s="61">
        <f t="shared" si="6"/>
        <v>60.813453033143382</v>
      </c>
      <c r="I29" s="58">
        <f t="shared" si="7"/>
        <v>1.25</v>
      </c>
      <c r="J29" s="58">
        <f t="shared" si="8"/>
        <v>2.2249595143146381E-2</v>
      </c>
      <c r="K29" s="62">
        <f t="shared" si="9"/>
        <v>2.5973019041512693</v>
      </c>
      <c r="L29" s="22">
        <f t="shared" si="16"/>
        <v>17</v>
      </c>
      <c r="M29" s="22">
        <f t="shared" si="10"/>
        <v>0.29670597283903605</v>
      </c>
      <c r="N29" s="142" t="e">
        <f t="shared" si="11"/>
        <v>#N/A</v>
      </c>
      <c r="O29" s="144" t="e">
        <f t="shared" si="12"/>
        <v>#N/A</v>
      </c>
      <c r="P29" s="142">
        <f t="shared" si="13"/>
        <v>22.910699911423233</v>
      </c>
      <c r="Q29" s="144">
        <f t="shared" si="14"/>
        <v>0.97850066946448599</v>
      </c>
    </row>
    <row r="30" spans="1:17" x14ac:dyDescent="0.25">
      <c r="A30" s="140">
        <f t="shared" si="15"/>
        <v>138</v>
      </c>
      <c r="B30" s="135">
        <f t="shared" si="0"/>
        <v>2.4085543677521746</v>
      </c>
      <c r="C30" s="136">
        <f t="shared" si="1"/>
        <v>1.9373154697137058</v>
      </c>
      <c r="D30" s="61" t="e">
        <f t="shared" si="2"/>
        <v>#N/A</v>
      </c>
      <c r="E30" s="58" t="e">
        <f t="shared" si="3"/>
        <v>#N/A</v>
      </c>
      <c r="F30" s="58" t="e">
        <f t="shared" si="4"/>
        <v>#N/A</v>
      </c>
      <c r="G30" s="102" t="e">
        <f t="shared" si="5"/>
        <v>#N/A</v>
      </c>
      <c r="H30" s="61">
        <f t="shared" si="6"/>
        <v>59.773663507195728</v>
      </c>
      <c r="I30" s="58">
        <f t="shared" si="7"/>
        <v>1.25</v>
      </c>
      <c r="J30" s="58">
        <f t="shared" si="8"/>
        <v>2.2249595143146381E-2</v>
      </c>
      <c r="K30" s="62">
        <f t="shared" si="9"/>
        <v>2.552893188958127</v>
      </c>
      <c r="L30" s="22">
        <f t="shared" si="16"/>
        <v>18</v>
      </c>
      <c r="M30" s="22">
        <f t="shared" si="10"/>
        <v>0.31415926535897931</v>
      </c>
      <c r="N30" s="142" t="e">
        <f t="shared" si="11"/>
        <v>#N/A</v>
      </c>
      <c r="O30" s="144" t="e">
        <f t="shared" si="12"/>
        <v>#N/A</v>
      </c>
      <c r="P30" s="142">
        <f t="shared" si="13"/>
        <v>22.121962428289702</v>
      </c>
      <c r="Q30" s="144">
        <f t="shared" si="14"/>
        <v>0.944814219104535</v>
      </c>
    </row>
    <row r="31" spans="1:17" x14ac:dyDescent="0.25">
      <c r="A31" s="140">
        <f t="shared" si="15"/>
        <v>139</v>
      </c>
      <c r="B31" s="135">
        <f t="shared" si="0"/>
        <v>2.4260076602721181</v>
      </c>
      <c r="C31" s="136">
        <f t="shared" si="1"/>
        <v>1.9285888234537341</v>
      </c>
      <c r="D31" s="61" t="e">
        <f t="shared" si="2"/>
        <v>#N/A</v>
      </c>
      <c r="E31" s="58" t="e">
        <f t="shared" si="3"/>
        <v>#N/A</v>
      </c>
      <c r="F31" s="58" t="e">
        <f t="shared" si="4"/>
        <v>#N/A</v>
      </c>
      <c r="G31" s="102" t="e">
        <f t="shared" si="5"/>
        <v>#N/A</v>
      </c>
      <c r="H31" s="61">
        <f t="shared" si="6"/>
        <v>58.746724196080109</v>
      </c>
      <c r="I31" s="58">
        <f t="shared" si="7"/>
        <v>1.25</v>
      </c>
      <c r="J31" s="58">
        <f t="shared" si="8"/>
        <v>2.2249595143146381E-2</v>
      </c>
      <c r="K31" s="62">
        <f t="shared" si="9"/>
        <v>2.509033297845634</v>
      </c>
      <c r="L31" s="22">
        <f t="shared" si="16"/>
        <v>19</v>
      </c>
      <c r="M31" s="22">
        <f t="shared" si="10"/>
        <v>0.33161255787892263</v>
      </c>
      <c r="N31" s="142" t="e">
        <f t="shared" si="11"/>
        <v>#N/A</v>
      </c>
      <c r="O31" s="144" t="e">
        <f t="shared" si="12"/>
        <v>#N/A</v>
      </c>
      <c r="P31" s="142">
        <f t="shared" si="13"/>
        <v>21.294662585658408</v>
      </c>
      <c r="Q31" s="144">
        <f t="shared" si="14"/>
        <v>0.90948079616275201</v>
      </c>
    </row>
    <row r="32" spans="1:17" x14ac:dyDescent="0.25">
      <c r="A32" s="140">
        <f t="shared" si="15"/>
        <v>140</v>
      </c>
      <c r="B32" s="135">
        <f t="shared" si="0"/>
        <v>2.4434609527920612</v>
      </c>
      <c r="C32" s="136">
        <f t="shared" si="1"/>
        <v>1.9198621771937625</v>
      </c>
      <c r="D32" s="61" t="e">
        <f t="shared" si="2"/>
        <v>#N/A</v>
      </c>
      <c r="E32" s="58" t="e">
        <f t="shared" si="3"/>
        <v>#N/A</v>
      </c>
      <c r="F32" s="58" t="e">
        <f t="shared" si="4"/>
        <v>#N/A</v>
      </c>
      <c r="G32" s="102" t="e">
        <f t="shared" si="5"/>
        <v>#N/A</v>
      </c>
      <c r="H32" s="61">
        <f t="shared" si="6"/>
        <v>57.732542349188158</v>
      </c>
      <c r="I32" s="58">
        <f t="shared" si="7"/>
        <v>1.25</v>
      </c>
      <c r="J32" s="58">
        <f t="shared" si="8"/>
        <v>2.2249595143146381E-2</v>
      </c>
      <c r="K32" s="62">
        <f t="shared" si="9"/>
        <v>2.4657182694973421</v>
      </c>
      <c r="L32" s="22">
        <f t="shared" si="16"/>
        <v>20</v>
      </c>
      <c r="M32" s="22">
        <f t="shared" si="10"/>
        <v>0.3490658503988659</v>
      </c>
      <c r="N32" s="142" t="e">
        <f t="shared" si="11"/>
        <v>#N/A</v>
      </c>
      <c r="O32" s="144" t="e">
        <f t="shared" si="12"/>
        <v>#N/A</v>
      </c>
      <c r="P32" s="142">
        <f t="shared" si="13"/>
        <v>20.429870693726539</v>
      </c>
      <c r="Q32" s="144">
        <f t="shared" si="14"/>
        <v>0.87254611287178541</v>
      </c>
    </row>
    <row r="33" spans="1:17" x14ac:dyDescent="0.25">
      <c r="A33" s="140">
        <f t="shared" si="15"/>
        <v>141</v>
      </c>
      <c r="B33" s="135">
        <f t="shared" si="0"/>
        <v>2.4609142453120048</v>
      </c>
      <c r="C33" s="136">
        <f t="shared" si="1"/>
        <v>1.911135530933791</v>
      </c>
      <c r="D33" s="61" t="e">
        <f t="shared" si="2"/>
        <v>#N/A</v>
      </c>
      <c r="E33" s="58" t="e">
        <f t="shared" si="3"/>
        <v>#N/A</v>
      </c>
      <c r="F33" s="58" t="e">
        <f t="shared" si="4"/>
        <v>#N/A</v>
      </c>
      <c r="G33" s="102" t="e">
        <f t="shared" si="5"/>
        <v>#N/A</v>
      </c>
      <c r="H33" s="61">
        <f t="shared" si="6"/>
        <v>56.731025276406385</v>
      </c>
      <c r="I33" s="58">
        <f t="shared" si="7"/>
        <v>1.25</v>
      </c>
      <c r="J33" s="58">
        <f t="shared" si="8"/>
        <v>2.2249595143146381E-2</v>
      </c>
      <c r="K33" s="62">
        <f t="shared" si="9"/>
        <v>2.4229441451805003</v>
      </c>
      <c r="L33" s="22">
        <f t="shared" si="16"/>
        <v>21</v>
      </c>
      <c r="M33" s="22">
        <f t="shared" si="10"/>
        <v>0.36651914291880922</v>
      </c>
      <c r="N33" s="142" t="e">
        <f t="shared" si="11"/>
        <v>#N/A</v>
      </c>
      <c r="O33" s="144" t="e">
        <f t="shared" si="12"/>
        <v>#N/A</v>
      </c>
      <c r="P33" s="142">
        <f t="shared" si="13"/>
        <v>19.528711041166876</v>
      </c>
      <c r="Q33" s="144">
        <f t="shared" si="14"/>
        <v>0.83405818684887267</v>
      </c>
    </row>
    <row r="34" spans="1:17" x14ac:dyDescent="0.25">
      <c r="A34" s="140">
        <f t="shared" si="15"/>
        <v>142</v>
      </c>
      <c r="B34" s="135">
        <f t="shared" si="0"/>
        <v>2.4783675378319479</v>
      </c>
      <c r="C34" s="136">
        <f t="shared" si="1"/>
        <v>1.9024088846738192</v>
      </c>
      <c r="D34" s="61" t="e">
        <f t="shared" si="2"/>
        <v>#N/A</v>
      </c>
      <c r="E34" s="58" t="e">
        <f t="shared" si="3"/>
        <v>#N/A</v>
      </c>
      <c r="F34" s="58" t="e">
        <f t="shared" si="4"/>
        <v>#N/A</v>
      </c>
      <c r="G34" s="102" t="e">
        <f t="shared" si="5"/>
        <v>#N/A</v>
      </c>
      <c r="H34" s="61">
        <f t="shared" si="6"/>
        <v>55.742080352167427</v>
      </c>
      <c r="I34" s="58">
        <f t="shared" si="7"/>
        <v>1.25</v>
      </c>
      <c r="J34" s="58">
        <f t="shared" si="8"/>
        <v>2.2249595143146381E-2</v>
      </c>
      <c r="K34" s="62">
        <f t="shared" si="9"/>
        <v>2.3807069689190783</v>
      </c>
      <c r="L34" s="22">
        <f t="shared" si="16"/>
        <v>22</v>
      </c>
      <c r="M34" s="22">
        <f t="shared" si="10"/>
        <v>0.38397243543875248</v>
      </c>
      <c r="N34" s="142" t="e">
        <f t="shared" si="11"/>
        <v>#N/A</v>
      </c>
      <c r="O34" s="144" t="e">
        <f t="shared" si="12"/>
        <v>#N/A</v>
      </c>
      <c r="P34" s="142">
        <f t="shared" si="13"/>
        <v>18.592361290430265</v>
      </c>
      <c r="Q34" s="144">
        <f t="shared" si="14"/>
        <v>0.79406731526961305</v>
      </c>
    </row>
    <row r="35" spans="1:17" x14ac:dyDescent="0.25">
      <c r="A35" s="140">
        <f t="shared" si="15"/>
        <v>143</v>
      </c>
      <c r="B35" s="135">
        <f t="shared" si="0"/>
        <v>2.4958208303518914</v>
      </c>
      <c r="C35" s="136">
        <f t="shared" si="1"/>
        <v>1.8936822384138476</v>
      </c>
      <c r="D35" s="61" t="e">
        <f t="shared" si="2"/>
        <v>#N/A</v>
      </c>
      <c r="E35" s="58" t="e">
        <f t="shared" si="3"/>
        <v>#N/A</v>
      </c>
      <c r="F35" s="58" t="e">
        <f t="shared" si="4"/>
        <v>#N/A</v>
      </c>
      <c r="G35" s="102" t="e">
        <f t="shared" si="5"/>
        <v>#N/A</v>
      </c>
      <c r="H35" s="61">
        <f t="shared" si="6"/>
        <v>54.765615019473664</v>
      </c>
      <c r="I35" s="58">
        <f t="shared" si="7"/>
        <v>1.25</v>
      </c>
      <c r="J35" s="58">
        <f t="shared" si="8"/>
        <v>2.2249595143146381E-2</v>
      </c>
      <c r="K35" s="62">
        <f t="shared" si="9"/>
        <v>2.3390027876656143</v>
      </c>
      <c r="L35" s="22">
        <f t="shared" si="16"/>
        <v>23</v>
      </c>
      <c r="M35" s="22">
        <f t="shared" si="10"/>
        <v>0.4014257279586958</v>
      </c>
      <c r="N35" s="142" t="e">
        <f t="shared" si="11"/>
        <v>#N/A</v>
      </c>
      <c r="O35" s="144" t="e">
        <f t="shared" si="12"/>
        <v>#N/A</v>
      </c>
      <c r="P35" s="142">
        <f t="shared" si="13"/>
        <v>17.62205184390735</v>
      </c>
      <c r="Q35" s="144">
        <f t="shared" si="14"/>
        <v>0.75262604779716047</v>
      </c>
    </row>
    <row r="36" spans="1:17" x14ac:dyDescent="0.25">
      <c r="A36" s="140">
        <f t="shared" si="15"/>
        <v>144</v>
      </c>
      <c r="B36" s="135">
        <f t="shared" si="0"/>
        <v>2.5132741228718345</v>
      </c>
      <c r="C36" s="136">
        <f t="shared" si="1"/>
        <v>1.8849555921538759</v>
      </c>
      <c r="D36" s="61" t="e">
        <f t="shared" si="2"/>
        <v>#N/A</v>
      </c>
      <c r="E36" s="58" t="e">
        <f t="shared" si="3"/>
        <v>#N/A</v>
      </c>
      <c r="F36" s="58" t="e">
        <f t="shared" si="4"/>
        <v>#N/A</v>
      </c>
      <c r="G36" s="102" t="e">
        <f t="shared" si="5"/>
        <v>#N/A</v>
      </c>
      <c r="H36" s="61">
        <f t="shared" si="6"/>
        <v>53.801536793898791</v>
      </c>
      <c r="I36" s="58">
        <f t="shared" si="7"/>
        <v>1.25</v>
      </c>
      <c r="J36" s="58">
        <f t="shared" si="8"/>
        <v>2.2249595143146381E-2</v>
      </c>
      <c r="K36" s="62">
        <f t="shared" si="9"/>
        <v>2.2978276514721196</v>
      </c>
      <c r="L36" s="22">
        <f t="shared" si="16"/>
        <v>24</v>
      </c>
      <c r="M36" s="22">
        <f t="shared" si="10"/>
        <v>0.41887902047863912</v>
      </c>
      <c r="N36" s="142" t="e">
        <f t="shared" si="11"/>
        <v>#N/A</v>
      </c>
      <c r="O36" s="144" t="e">
        <f t="shared" si="12"/>
        <v>#N/A</v>
      </c>
      <c r="P36" s="142">
        <f t="shared" si="13"/>
        <v>16.619065181224538</v>
      </c>
      <c r="Q36" s="144">
        <f t="shared" si="14"/>
        <v>0.70978915827857592</v>
      </c>
    </row>
    <row r="37" spans="1:17" x14ac:dyDescent="0.25">
      <c r="A37" s="140">
        <f t="shared" si="15"/>
        <v>145</v>
      </c>
      <c r="B37" s="135">
        <f t="shared" si="0"/>
        <v>2.530727415391778</v>
      </c>
      <c r="C37" s="136">
        <f t="shared" si="1"/>
        <v>1.8762289458939043</v>
      </c>
      <c r="D37" s="61" t="e">
        <f t="shared" si="2"/>
        <v>#N/A</v>
      </c>
      <c r="E37" s="58" t="e">
        <f t="shared" si="3"/>
        <v>#N/A</v>
      </c>
      <c r="F37" s="58" t="e">
        <f t="shared" si="4"/>
        <v>#N/A</v>
      </c>
      <c r="G37" s="102" t="e">
        <f t="shared" si="5"/>
        <v>#N/A</v>
      </c>
      <c r="H37" s="61">
        <f t="shared" si="6"/>
        <v>52.849753267566221</v>
      </c>
      <c r="I37" s="58">
        <f t="shared" si="7"/>
        <v>1.25</v>
      </c>
      <c r="J37" s="58">
        <f t="shared" si="8"/>
        <v>2.2249595143146381E-2</v>
      </c>
      <c r="K37" s="62">
        <f t="shared" si="9"/>
        <v>2.2571776136599908</v>
      </c>
      <c r="L37" s="22">
        <f t="shared" si="16"/>
        <v>25</v>
      </c>
      <c r="M37" s="22">
        <f t="shared" si="10"/>
        <v>0.43633231299858238</v>
      </c>
      <c r="N37" s="142" t="e">
        <f t="shared" si="11"/>
        <v>#N/A</v>
      </c>
      <c r="O37" s="144" t="e">
        <f t="shared" si="12"/>
        <v>#N/A</v>
      </c>
      <c r="P37" s="142">
        <f t="shared" si="13"/>
        <v>15.584735167964391</v>
      </c>
      <c r="Q37" s="144">
        <f t="shared" si="14"/>
        <v>0.6656136152207387</v>
      </c>
    </row>
    <row r="38" spans="1:17" x14ac:dyDescent="0.25">
      <c r="A38" s="140">
        <f t="shared" si="15"/>
        <v>146</v>
      </c>
      <c r="B38" s="135">
        <f t="shared" si="0"/>
        <v>2.5481807079117211</v>
      </c>
      <c r="C38" s="136">
        <f t="shared" si="1"/>
        <v>1.8675022996339325</v>
      </c>
      <c r="D38" s="61" t="e">
        <f t="shared" si="2"/>
        <v>#N/A</v>
      </c>
      <c r="E38" s="58" t="e">
        <f t="shared" si="3"/>
        <v>#N/A</v>
      </c>
      <c r="F38" s="58" t="e">
        <f t="shared" si="4"/>
        <v>#N/A</v>
      </c>
      <c r="G38" s="102" t="e">
        <f t="shared" si="5"/>
        <v>#N/A</v>
      </c>
      <c r="H38" s="61">
        <f t="shared" si="6"/>
        <v>51.910172113102362</v>
      </c>
      <c r="I38" s="58">
        <f t="shared" si="7"/>
        <v>1.25</v>
      </c>
      <c r="J38" s="58">
        <f t="shared" si="8"/>
        <v>2.2249595143146381E-2</v>
      </c>
      <c r="K38" s="62">
        <f t="shared" si="9"/>
        <v>2.2170487309888554</v>
      </c>
      <c r="L38" s="22">
        <f t="shared" si="16"/>
        <v>26</v>
      </c>
      <c r="M38" s="22">
        <f t="shared" si="10"/>
        <v>0.4537856055185257</v>
      </c>
      <c r="N38" s="142" t="e">
        <f t="shared" si="11"/>
        <v>#N/A</v>
      </c>
      <c r="O38" s="144" t="e">
        <f t="shared" si="12"/>
        <v>#N/A</v>
      </c>
      <c r="P38" s="142">
        <f t="shared" si="13"/>
        <v>14.52044633611364</v>
      </c>
      <c r="Q38" s="144">
        <f t="shared" si="14"/>
        <v>0.62015855105876205</v>
      </c>
    </row>
    <row r="39" spans="1:17" x14ac:dyDescent="0.25">
      <c r="A39" s="140">
        <f t="shared" si="15"/>
        <v>147</v>
      </c>
      <c r="B39" s="135">
        <f t="shared" si="0"/>
        <v>2.5656340004316642</v>
      </c>
      <c r="C39" s="136">
        <f t="shared" si="1"/>
        <v>1.858775653373961</v>
      </c>
      <c r="D39" s="61" t="e">
        <f t="shared" si="2"/>
        <v>#N/A</v>
      </c>
      <c r="E39" s="58" t="e">
        <f t="shared" si="3"/>
        <v>#N/A</v>
      </c>
      <c r="F39" s="58" t="e">
        <f t="shared" si="4"/>
        <v>#N/A</v>
      </c>
      <c r="G39" s="102" t="e">
        <f t="shared" si="5"/>
        <v>#N/A</v>
      </c>
      <c r="H39" s="61">
        <f t="shared" si="6"/>
        <v>50.982701087573638</v>
      </c>
      <c r="I39" s="58">
        <f t="shared" si="7"/>
        <v>1.25</v>
      </c>
      <c r="J39" s="58">
        <f t="shared" si="8"/>
        <v>2.2249595143146381E-2</v>
      </c>
      <c r="K39" s="62">
        <f t="shared" si="9"/>
        <v>2.177437063824716</v>
      </c>
      <c r="L39" s="22">
        <f t="shared" si="16"/>
        <v>27</v>
      </c>
      <c r="M39" s="22">
        <f t="shared" si="10"/>
        <v>0.47123889803846897</v>
      </c>
      <c r="N39" s="142" t="e">
        <f t="shared" si="11"/>
        <v>#N/A</v>
      </c>
      <c r="O39" s="144" t="e">
        <f t="shared" si="12"/>
        <v>#N/A</v>
      </c>
      <c r="P39" s="142">
        <f t="shared" si="13"/>
        <v>13.427633136551592</v>
      </c>
      <c r="Q39" s="144">
        <f t="shared" si="14"/>
        <v>0.57348523023027298</v>
      </c>
    </row>
    <row r="40" spans="1:17" x14ac:dyDescent="0.25">
      <c r="A40" s="140">
        <f t="shared" si="15"/>
        <v>148</v>
      </c>
      <c r="B40" s="135">
        <f t="shared" si="0"/>
        <v>2.5830872929516078</v>
      </c>
      <c r="C40" s="136">
        <f t="shared" si="1"/>
        <v>1.8500490071139892</v>
      </c>
      <c r="D40" s="61" t="e">
        <f t="shared" si="2"/>
        <v>#N/A</v>
      </c>
      <c r="E40" s="58" t="e">
        <f t="shared" si="3"/>
        <v>#N/A</v>
      </c>
      <c r="F40" s="58" t="e">
        <f t="shared" si="4"/>
        <v>#N/A</v>
      </c>
      <c r="G40" s="102" t="e">
        <f t="shared" si="5"/>
        <v>#N/A</v>
      </c>
      <c r="H40" s="61">
        <f t="shared" si="6"/>
        <v>50.067248036399349</v>
      </c>
      <c r="I40" s="58">
        <f t="shared" si="7"/>
        <v>1.25</v>
      </c>
      <c r="J40" s="58">
        <f t="shared" si="8"/>
        <v>2.2249595143146381E-2</v>
      </c>
      <c r="K40" s="62">
        <f t="shared" si="9"/>
        <v>2.1383386763070686</v>
      </c>
      <c r="L40" s="22">
        <f t="shared" si="16"/>
        <v>28</v>
      </c>
      <c r="M40" s="22">
        <f t="shared" si="10"/>
        <v>0.48869219055841229</v>
      </c>
      <c r="N40" s="142" t="e">
        <f t="shared" si="11"/>
        <v>#N/A</v>
      </c>
      <c r="O40" s="144" t="e">
        <f t="shared" si="12"/>
        <v>#N/A</v>
      </c>
      <c r="P40" s="142">
        <f t="shared" si="13"/>
        <v>12.307779163907085</v>
      </c>
      <c r="Q40" s="144">
        <f t="shared" si="14"/>
        <v>0.5256570160695716</v>
      </c>
    </row>
    <row r="41" spans="1:17" x14ac:dyDescent="0.25">
      <c r="A41" s="140">
        <f t="shared" si="15"/>
        <v>149</v>
      </c>
      <c r="B41" s="135">
        <f t="shared" si="0"/>
        <v>2.6005405854715509</v>
      </c>
      <c r="C41" s="136">
        <f t="shared" si="1"/>
        <v>1.8413223608540177</v>
      </c>
      <c r="D41" s="61" t="e">
        <f t="shared" si="2"/>
        <v>#N/A</v>
      </c>
      <c r="E41" s="58" t="e">
        <f t="shared" si="3"/>
        <v>#N/A</v>
      </c>
      <c r="F41" s="58" t="e">
        <f t="shared" si="4"/>
        <v>#N/A</v>
      </c>
      <c r="G41" s="102" t="e">
        <f t="shared" si="5"/>
        <v>#N/A</v>
      </c>
      <c r="H41" s="61">
        <f t="shared" si="6"/>
        <v>49.16372089724819</v>
      </c>
      <c r="I41" s="58">
        <f t="shared" si="7"/>
        <v>1.25</v>
      </c>
      <c r="J41" s="58">
        <f t="shared" si="8"/>
        <v>2.2249595143146381E-2</v>
      </c>
      <c r="K41" s="62">
        <f t="shared" si="9"/>
        <v>2.0997496365153197</v>
      </c>
      <c r="L41" s="22">
        <f t="shared" si="16"/>
        <v>29</v>
      </c>
      <c r="M41" s="22">
        <f t="shared" si="10"/>
        <v>0.50614548307835561</v>
      </c>
      <c r="N41" s="142" t="e">
        <f t="shared" si="11"/>
        <v>#N/A</v>
      </c>
      <c r="O41" s="144" t="e">
        <f t="shared" si="12"/>
        <v>#N/A</v>
      </c>
      <c r="P41" s="142">
        <f t="shared" si="13"/>
        <v>11.162416354122854</v>
      </c>
      <c r="Q41" s="144">
        <f t="shared" si="14"/>
        <v>0.47673933653614115</v>
      </c>
    </row>
    <row r="42" spans="1:17" x14ac:dyDescent="0.25">
      <c r="A42" s="140">
        <f t="shared" si="15"/>
        <v>150</v>
      </c>
      <c r="B42" s="135">
        <f t="shared" si="0"/>
        <v>2.6179938779914944</v>
      </c>
      <c r="C42" s="136">
        <f t="shared" si="1"/>
        <v>1.8325957145940461</v>
      </c>
      <c r="D42" s="61" t="e">
        <f t="shared" si="2"/>
        <v>#N/A</v>
      </c>
      <c r="E42" s="58" t="e">
        <f t="shared" si="3"/>
        <v>#N/A</v>
      </c>
      <c r="F42" s="58" t="e">
        <f t="shared" si="4"/>
        <v>#N/A</v>
      </c>
      <c r="G42" s="102" t="e">
        <f t="shared" si="5"/>
        <v>#N/A</v>
      </c>
      <c r="H42" s="61">
        <f t="shared" si="6"/>
        <v>48.27202770391429</v>
      </c>
      <c r="I42" s="58">
        <f t="shared" si="7"/>
        <v>1.25</v>
      </c>
      <c r="J42" s="58">
        <f t="shared" si="8"/>
        <v>2.2249595143146381E-2</v>
      </c>
      <c r="K42" s="62">
        <f t="shared" si="9"/>
        <v>2.0616660166343261</v>
      </c>
      <c r="L42" s="22">
        <f t="shared" si="16"/>
        <v>30</v>
      </c>
      <c r="M42" s="22">
        <f t="shared" si="10"/>
        <v>0.52359877559829882</v>
      </c>
      <c r="N42" s="142" t="e">
        <f t="shared" si="11"/>
        <v>#N/A</v>
      </c>
      <c r="O42" s="144" t="e">
        <f t="shared" si="12"/>
        <v>#N/A</v>
      </c>
      <c r="P42" s="142">
        <f t="shared" si="13"/>
        <v>9.993124155078533</v>
      </c>
      <c r="Q42" s="144">
        <f t="shared" si="14"/>
        <v>0.42679964879251198</v>
      </c>
    </row>
    <row r="43" spans="1:17" x14ac:dyDescent="0.25">
      <c r="A43" s="140">
        <f t="shared" si="15"/>
        <v>151</v>
      </c>
      <c r="B43" s="135">
        <f t="shared" si="0"/>
        <v>2.6354471705114375</v>
      </c>
      <c r="C43" s="136">
        <f t="shared" si="1"/>
        <v>1.8238690683340744</v>
      </c>
      <c r="D43" s="61" t="e">
        <f t="shared" si="2"/>
        <v>#N/A</v>
      </c>
      <c r="E43" s="58" t="e">
        <f t="shared" si="3"/>
        <v>#N/A</v>
      </c>
      <c r="F43" s="58" t="e">
        <f t="shared" si="4"/>
        <v>#N/A</v>
      </c>
      <c r="G43" s="102" t="e">
        <f t="shared" si="5"/>
        <v>#N/A</v>
      </c>
      <c r="H43" s="61">
        <f t="shared" si="6"/>
        <v>47.392076590174788</v>
      </c>
      <c r="I43" s="58">
        <f t="shared" si="7"/>
        <v>1.25</v>
      </c>
      <c r="J43" s="58">
        <f t="shared" si="8"/>
        <v>2.2249595143146381E-2</v>
      </c>
      <c r="K43" s="62">
        <f t="shared" si="9"/>
        <v>2.0240838931191556</v>
      </c>
      <c r="L43" s="22">
        <f t="shared" si="16"/>
        <v>31</v>
      </c>
      <c r="M43" s="22">
        <f t="shared" si="10"/>
        <v>0.54105206811824214</v>
      </c>
      <c r="N43" s="142" t="e">
        <f t="shared" si="11"/>
        <v>#N/A</v>
      </c>
      <c r="O43" s="144" t="e">
        <f t="shared" si="12"/>
        <v>#N/A</v>
      </c>
      <c r="P43" s="142">
        <f t="shared" si="13"/>
        <v>8.8015286706350935</v>
      </c>
      <c r="Q43" s="144">
        <f t="shared" si="14"/>
        <v>0.37590740264697142</v>
      </c>
    </row>
    <row r="44" spans="1:17" x14ac:dyDescent="0.25">
      <c r="A44" s="140">
        <f t="shared" si="15"/>
        <v>152</v>
      </c>
      <c r="B44" s="135">
        <f t="shared" ref="B44:B75" si="17">A44*Deg_to_Rad</f>
        <v>2.6529004630313811</v>
      </c>
      <c r="C44" s="136">
        <f t="shared" ref="C44:C75" si="18">(180-A44*0.5)*Deg_to_Rad</f>
        <v>1.8151424220741028</v>
      </c>
      <c r="D44" s="61" t="e">
        <f t="shared" ref="D44:D75" si="19">IF(Load_Case=1,ABS(((FA_SUS*D*0.5)/PI())*(COS(C44)+(0.5*C44*SIN(C44))-(1.5*SIN(C44)/C44)+(0.5*COS(C44))-(0.25*(COS(C44)-SIN(C44)/C44 ))*(9-(4-6*(SIN(C44)/C44)^2 +(2*(COS(C44))^2))/((SIN(C44)/C44)*COS(C44)+1-(2*(SIN(C44)/C44)^2 ))))),NA())</f>
        <v>#N/A</v>
      </c>
      <c r="E44" s="58" t="e">
        <f t="shared" ref="E44:E75" si="20">IF(Load_Case=1,0.25*FA_SUS,NA())</f>
        <v>#N/A</v>
      </c>
      <c r="F44" s="58" t="e">
        <f t="shared" ref="F44:F75" si="21">IF(SC_mem,(E44*1000/(4*tnet_Saddle_Zick*(4*0.5*D+1.56*SQRT((0.5*D*tnet_Saddle_Zick))))),NA())</f>
        <v>#N/A</v>
      </c>
      <c r="G44" s="102" t="e">
        <f t="shared" ref="G44:G75" si="22">IF(SC_bend,D44*1000/(4*0.5*D*tnet_Saddle_Zick^2/6),NA())</f>
        <v>#N/A</v>
      </c>
      <c r="H44" s="61">
        <f t="shared" ref="H44:H75" si="23">IF(Load_Case=2,ABS(((FA_EXP*D*0.5)/PI())*(COS(C44)+(0.5*C44*SIN(C44))-(1.5*SIN(C44)/C44)+(0.5*COS(C44))-(0.25*(COS(C44)-SIN(C44)/C44 ))*(9-(4-6*(SIN(C44)/C44)^2 +(2*(COS(C44))^2))/((SIN(C44)/C44)*COS(C44)+1-(2*(SIN(C44)/C44)^2 ))))),NA())</f>
        <v>46.523775793638535</v>
      </c>
      <c r="I44" s="58">
        <f t="shared" ref="I44:I75" si="24">IF(Load_Case=2,0.25*FA_EXP,NA())</f>
        <v>1.25</v>
      </c>
      <c r="J44" s="58">
        <f t="shared" ref="J44:J75" si="25">IF(SC_mem,(I44*1000/(4*tnet_Saddle_Zick*(4*0.5*D+1.56*SQRT((0.5*D*tnet_Saddle_Zick))))),NA())</f>
        <v>2.2249595143146381E-2</v>
      </c>
      <c r="K44" s="62">
        <f t="shared" ref="K44:K75" si="26">IF(SC_bend,H44*1000/(4*0.5*D*tnet_Saddle_Zick^2/6),NA())</f>
        <v>1.9869993468594558</v>
      </c>
      <c r="L44" s="22">
        <f t="shared" si="16"/>
        <v>32</v>
      </c>
      <c r="M44" s="22">
        <f t="shared" ref="M44:M75" si="27">L44*Deg_to_Rad</f>
        <v>0.55850536063818546</v>
      </c>
      <c r="N44" s="142" t="e">
        <f t="shared" ref="N44:N75" si="28">IF(Load_Case=1,ABS(((FA_SUS*D*0.5)/PI())*(COS(M44)+(0.5*M44*SIN(M44))-(1.5*SIN(Beta)/Beta)+(0.5*COS(Beta))-(0.25*(COS(M44)-SIN(Beta)/Beta))*(9-(4-6*(SIN(Beta)/Beta)^2 +(2*(COS(Beta))^2))/((SIN(Beta)/Beta)*COS(Beta)+1-(2*(SIN(Beta)/Beta)^2 ))))),NA())</f>
        <v>#N/A</v>
      </c>
      <c r="O44" s="144" t="e">
        <f t="shared" ref="O44:O75" si="29">N44*1000/(4*0.5*D*tnet_Saddle_Zick^2/6)</f>
        <v>#N/A</v>
      </c>
      <c r="P44" s="142">
        <f t="shared" ref="P44:P75" si="30">IF(Load_Case=2,ABS(((FA_EXP*D*0.5)/PI())*(COS(M44)+(0.5*M44*SIN(M44))-(1.5*SIN(Beta)/Beta)+(0.5*COS(Beta))-(0.25*(COS(M44)-SIN(Beta)/Beta))*(9-(4-6*(SIN(Beta)/Beta)^2 +(2*(COS(Beta))^2))/((SIN(Beta)/Beta)*COS(Beta)+1-(2*(SIN(Beta)/Beta)^2 ))))),NA())</f>
        <v>7.5893017784761829</v>
      </c>
      <c r="Q44" s="144">
        <f t="shared" ref="Q44:Q75" si="31">P44*1000/(4*0.5*D*tnet_Saddle_Zick^2/6)</f>
        <v>0.32413400287715793</v>
      </c>
    </row>
    <row r="45" spans="1:17" x14ac:dyDescent="0.25">
      <c r="A45" s="140">
        <f t="shared" ref="A45:A76" si="32">IF((A44+SaddleAngle_Increment)&gt;Maz_zick_saddleangle,NA(),A44+SaddleAngle_Increment)</f>
        <v>153</v>
      </c>
      <c r="B45" s="135">
        <f t="shared" si="17"/>
        <v>2.6703537555513241</v>
      </c>
      <c r="C45" s="136">
        <f t="shared" si="18"/>
        <v>1.806415775814131</v>
      </c>
      <c r="D45" s="61" t="e">
        <f t="shared" si="19"/>
        <v>#N/A</v>
      </c>
      <c r="E45" s="58" t="e">
        <f t="shared" si="20"/>
        <v>#N/A</v>
      </c>
      <c r="F45" s="58" t="e">
        <f t="shared" si="21"/>
        <v>#N/A</v>
      </c>
      <c r="G45" s="102" t="e">
        <f t="shared" si="22"/>
        <v>#N/A</v>
      </c>
      <c r="H45" s="61">
        <f t="shared" si="23"/>
        <v>45.667033659566208</v>
      </c>
      <c r="I45" s="58">
        <f t="shared" si="24"/>
        <v>1.25</v>
      </c>
      <c r="J45" s="58">
        <f t="shared" si="25"/>
        <v>2.2249595143146381E-2</v>
      </c>
      <c r="K45" s="62">
        <f t="shared" si="26"/>
        <v>1.9504084633426142</v>
      </c>
      <c r="L45" s="22">
        <f t="shared" ref="L45:L76" si="33">IF((L44+1)&gt;Beta_Deg,NA(),L44+1)</f>
        <v>33</v>
      </c>
      <c r="M45" s="22">
        <f t="shared" si="27"/>
        <v>0.57595865315812877</v>
      </c>
      <c r="N45" s="142" t="e">
        <f t="shared" si="28"/>
        <v>#N/A</v>
      </c>
      <c r="O45" s="144" t="e">
        <f t="shared" si="29"/>
        <v>#N/A</v>
      </c>
      <c r="P45" s="142">
        <f t="shared" si="30"/>
        <v>6.3581602221324021</v>
      </c>
      <c r="Q45" s="144">
        <f t="shared" si="31"/>
        <v>0.27155277045102449</v>
      </c>
    </row>
    <row r="46" spans="1:17" x14ac:dyDescent="0.25">
      <c r="A46" s="140">
        <f t="shared" si="32"/>
        <v>154</v>
      </c>
      <c r="B46" s="135">
        <f t="shared" si="17"/>
        <v>2.6878070480712677</v>
      </c>
      <c r="C46" s="136">
        <f t="shared" si="18"/>
        <v>1.7976891295541595</v>
      </c>
      <c r="D46" s="61" t="e">
        <f t="shared" si="19"/>
        <v>#N/A</v>
      </c>
      <c r="E46" s="58" t="e">
        <f t="shared" si="20"/>
        <v>#N/A</v>
      </c>
      <c r="F46" s="58" t="e">
        <f t="shared" si="21"/>
        <v>#N/A</v>
      </c>
      <c r="G46" s="102" t="e">
        <f t="shared" si="22"/>
        <v>#N/A</v>
      </c>
      <c r="H46" s="61">
        <f t="shared" si="23"/>
        <v>44.821758644687669</v>
      </c>
      <c r="I46" s="58">
        <f t="shared" si="24"/>
        <v>1.25</v>
      </c>
      <c r="J46" s="58">
        <f t="shared" si="25"/>
        <v>2.2249595143146381E-2</v>
      </c>
      <c r="K46" s="62">
        <f t="shared" si="26"/>
        <v>1.9143073328167908</v>
      </c>
      <c r="L46" s="22">
        <f t="shared" si="33"/>
        <v>34</v>
      </c>
      <c r="M46" s="22">
        <f t="shared" si="27"/>
        <v>0.59341194567807209</v>
      </c>
      <c r="N46" s="142" t="e">
        <f t="shared" si="28"/>
        <v>#N/A</v>
      </c>
      <c r="O46" s="144" t="e">
        <f t="shared" si="29"/>
        <v>#N/A</v>
      </c>
      <c r="P46" s="142">
        <f t="shared" si="30"/>
        <v>5.1098646775870087</v>
      </c>
      <c r="Q46" s="144">
        <f t="shared" si="31"/>
        <v>0.2182389026621934</v>
      </c>
    </row>
    <row r="47" spans="1:17" x14ac:dyDescent="0.25">
      <c r="A47" s="140">
        <f t="shared" si="32"/>
        <v>155</v>
      </c>
      <c r="B47" s="135">
        <f t="shared" si="17"/>
        <v>2.7052603405912108</v>
      </c>
      <c r="C47" s="136">
        <f t="shared" si="18"/>
        <v>1.7889624832941877</v>
      </c>
      <c r="D47" s="61" t="e">
        <f t="shared" si="19"/>
        <v>#N/A</v>
      </c>
      <c r="E47" s="58" t="e">
        <f t="shared" si="20"/>
        <v>#N/A</v>
      </c>
      <c r="F47" s="58" t="e">
        <f t="shared" si="21"/>
        <v>#N/A</v>
      </c>
      <c r="G47" s="102" t="e">
        <f t="shared" si="22"/>
        <v>#N/A</v>
      </c>
      <c r="H47" s="61">
        <f t="shared" si="23"/>
        <v>43.987859320997117</v>
      </c>
      <c r="I47" s="58">
        <f t="shared" si="24"/>
        <v>1.25</v>
      </c>
      <c r="J47" s="58">
        <f t="shared" si="25"/>
        <v>2.2249595143146381E-2</v>
      </c>
      <c r="K47" s="62">
        <f t="shared" si="26"/>
        <v>1.87869205045301</v>
      </c>
      <c r="L47" s="22">
        <f t="shared" si="33"/>
        <v>35</v>
      </c>
      <c r="M47" s="22">
        <f t="shared" si="27"/>
        <v>0.6108652381980153</v>
      </c>
      <c r="N47" s="142" t="e">
        <f t="shared" si="28"/>
        <v>#N/A</v>
      </c>
      <c r="O47" s="144" t="e">
        <f t="shared" si="29"/>
        <v>#N/A</v>
      </c>
      <c r="P47" s="142">
        <f t="shared" si="30"/>
        <v>3.8462187948718101</v>
      </c>
      <c r="Q47" s="144">
        <f t="shared" si="31"/>
        <v>0.16426943219715723</v>
      </c>
    </row>
    <row r="48" spans="1:17" x14ac:dyDescent="0.25">
      <c r="A48" s="140">
        <f t="shared" si="32"/>
        <v>156</v>
      </c>
      <c r="B48" s="135">
        <f t="shared" si="17"/>
        <v>2.7227136331111539</v>
      </c>
      <c r="C48" s="136">
        <f t="shared" si="18"/>
        <v>1.7802358370342162</v>
      </c>
      <c r="D48" s="61" t="e">
        <f t="shared" si="19"/>
        <v>#N/A</v>
      </c>
      <c r="E48" s="58" t="e">
        <f t="shared" si="20"/>
        <v>#N/A</v>
      </c>
      <c r="F48" s="58" t="e">
        <f t="shared" si="21"/>
        <v>#N/A</v>
      </c>
      <c r="G48" s="102" t="e">
        <f t="shared" si="22"/>
        <v>#N/A</v>
      </c>
      <c r="H48" s="61">
        <f t="shared" si="23"/>
        <v>43.165244379537697</v>
      </c>
      <c r="I48" s="58">
        <f t="shared" si="24"/>
        <v>1.25</v>
      </c>
      <c r="J48" s="58">
        <f t="shared" si="25"/>
        <v>2.2249595143146381E-2</v>
      </c>
      <c r="K48" s="62">
        <f t="shared" si="26"/>
        <v>1.8435587165067959</v>
      </c>
      <c r="L48" s="22">
        <f t="shared" si="33"/>
        <v>36</v>
      </c>
      <c r="M48" s="22">
        <f t="shared" si="27"/>
        <v>0.62831853071795862</v>
      </c>
      <c r="N48" s="142" t="e">
        <f t="shared" si="28"/>
        <v>#N/A</v>
      </c>
      <c r="O48" s="144" t="e">
        <f t="shared" si="29"/>
        <v>#N/A</v>
      </c>
      <c r="P48" s="142">
        <f t="shared" si="30"/>
        <v>2.5690682150743838</v>
      </c>
      <c r="Q48" s="144">
        <f t="shared" si="31"/>
        <v>0.10972318515231493</v>
      </c>
    </row>
    <row r="49" spans="1:17" x14ac:dyDescent="0.25">
      <c r="A49" s="140">
        <f t="shared" si="32"/>
        <v>157</v>
      </c>
      <c r="B49" s="135">
        <f t="shared" si="17"/>
        <v>2.7401669256310974</v>
      </c>
      <c r="C49" s="136">
        <f t="shared" si="18"/>
        <v>1.7715091907742444</v>
      </c>
      <c r="D49" s="61" t="e">
        <f t="shared" si="19"/>
        <v>#N/A</v>
      </c>
      <c r="E49" s="58" t="e">
        <f t="shared" si="20"/>
        <v>#N/A</v>
      </c>
      <c r="F49" s="58" t="e">
        <f t="shared" si="21"/>
        <v>#N/A</v>
      </c>
      <c r="G49" s="102" t="e">
        <f t="shared" si="22"/>
        <v>#N/A</v>
      </c>
      <c r="H49" s="61">
        <f t="shared" si="23"/>
        <v>42.353822634172488</v>
      </c>
      <c r="I49" s="58">
        <f t="shared" si="24"/>
        <v>1.25</v>
      </c>
      <c r="J49" s="58">
        <f t="shared" si="25"/>
        <v>2.2249595143146381E-2</v>
      </c>
      <c r="K49" s="62">
        <f t="shared" si="26"/>
        <v>1.8089034364792302</v>
      </c>
      <c r="L49" s="22">
        <f t="shared" si="33"/>
        <v>37</v>
      </c>
      <c r="M49" s="22">
        <f t="shared" si="27"/>
        <v>0.64577182323790194</v>
      </c>
      <c r="N49" s="142" t="e">
        <f t="shared" si="28"/>
        <v>#N/A</v>
      </c>
      <c r="O49" s="144" t="e">
        <f t="shared" si="29"/>
        <v>#N/A</v>
      </c>
      <c r="P49" s="142">
        <f t="shared" si="30"/>
        <v>1.2802995631877996</v>
      </c>
      <c r="Q49" s="144">
        <f t="shared" si="31"/>
        <v>5.4680738019257109E-2</v>
      </c>
    </row>
    <row r="50" spans="1:17" x14ac:dyDescent="0.25">
      <c r="A50" s="140">
        <f t="shared" si="32"/>
        <v>158</v>
      </c>
      <c r="B50" s="135">
        <f t="shared" si="17"/>
        <v>2.7576202181510405</v>
      </c>
      <c r="C50" s="136">
        <f t="shared" si="18"/>
        <v>1.7627825445142729</v>
      </c>
      <c r="D50" s="61" t="e">
        <f t="shared" si="19"/>
        <v>#N/A</v>
      </c>
      <c r="E50" s="58" t="e">
        <f t="shared" si="20"/>
        <v>#N/A</v>
      </c>
      <c r="F50" s="58" t="e">
        <f t="shared" si="21"/>
        <v>#N/A</v>
      </c>
      <c r="G50" s="102" t="e">
        <f t="shared" si="22"/>
        <v>#N/A</v>
      </c>
      <c r="H50" s="61">
        <f t="shared" si="23"/>
        <v>41.55350302534611</v>
      </c>
      <c r="I50" s="58">
        <f t="shared" si="24"/>
        <v>1.25</v>
      </c>
      <c r="J50" s="58">
        <f t="shared" si="25"/>
        <v>2.2249595143146381E-2</v>
      </c>
      <c r="K50" s="62">
        <f t="shared" si="26"/>
        <v>1.7747223212776073</v>
      </c>
      <c r="L50" s="22">
        <f t="shared" si="33"/>
        <v>38</v>
      </c>
      <c r="M50" s="22">
        <f t="shared" si="27"/>
        <v>0.66322511575784526</v>
      </c>
      <c r="N50" s="142" t="e">
        <f t="shared" si="28"/>
        <v>#N/A</v>
      </c>
      <c r="O50" s="144" t="e">
        <f t="shared" si="29"/>
        <v>#N/A</v>
      </c>
      <c r="P50" s="142">
        <f t="shared" si="30"/>
        <v>1.8160582754920676E-2</v>
      </c>
      <c r="Q50" s="144">
        <f t="shared" si="31"/>
        <v>7.7562634281176722E-4</v>
      </c>
    </row>
    <row r="51" spans="1:17" x14ac:dyDescent="0.25">
      <c r="A51" s="140">
        <f t="shared" si="32"/>
        <v>159</v>
      </c>
      <c r="B51" s="135">
        <f t="shared" si="17"/>
        <v>2.7750735106709841</v>
      </c>
      <c r="C51" s="136">
        <f t="shared" si="18"/>
        <v>1.7540558982543013</v>
      </c>
      <c r="D51" s="61" t="e">
        <f t="shared" si="19"/>
        <v>#N/A</v>
      </c>
      <c r="E51" s="58" t="e">
        <f t="shared" si="20"/>
        <v>#N/A</v>
      </c>
      <c r="F51" s="58" t="e">
        <f t="shared" si="21"/>
        <v>#N/A</v>
      </c>
      <c r="G51" s="102" t="e">
        <f t="shared" si="22"/>
        <v>#N/A</v>
      </c>
      <c r="H51" s="61">
        <f t="shared" si="23"/>
        <v>40.764194623827322</v>
      </c>
      <c r="I51" s="58">
        <f t="shared" si="24"/>
        <v>1.25</v>
      </c>
      <c r="J51" s="58">
        <f t="shared" si="25"/>
        <v>2.2249595143146381E-2</v>
      </c>
      <c r="K51" s="62">
        <f t="shared" si="26"/>
        <v>1.7410114873752791</v>
      </c>
      <c r="L51" s="22">
        <f t="shared" si="33"/>
        <v>39</v>
      </c>
      <c r="M51" s="22">
        <f t="shared" si="27"/>
        <v>0.68067840827778847</v>
      </c>
      <c r="N51" s="142" t="e">
        <f t="shared" si="28"/>
        <v>#N/A</v>
      </c>
      <c r="O51" s="144" t="e">
        <f t="shared" si="29"/>
        <v>#N/A</v>
      </c>
      <c r="P51" s="142">
        <f t="shared" si="30"/>
        <v>1.3243467458083775</v>
      </c>
      <c r="Q51" s="144">
        <f t="shared" si="31"/>
        <v>5.6561963728157014E-2</v>
      </c>
    </row>
    <row r="52" spans="1:17" x14ac:dyDescent="0.25">
      <c r="A52" s="140">
        <f t="shared" si="32"/>
        <v>160</v>
      </c>
      <c r="B52" s="135">
        <f t="shared" si="17"/>
        <v>2.7925268031909272</v>
      </c>
      <c r="C52" s="136">
        <f t="shared" si="18"/>
        <v>1.7453292519943295</v>
      </c>
      <c r="D52" s="61" t="e">
        <f t="shared" si="19"/>
        <v>#N/A</v>
      </c>
      <c r="E52" s="58" t="e">
        <f t="shared" si="20"/>
        <v>#N/A</v>
      </c>
      <c r="F52" s="58" t="e">
        <f t="shared" si="21"/>
        <v>#N/A</v>
      </c>
      <c r="G52" s="102" t="e">
        <f t="shared" si="22"/>
        <v>#N/A</v>
      </c>
      <c r="H52" s="61">
        <f t="shared" si="23"/>
        <v>39.985806634449084</v>
      </c>
      <c r="I52" s="58">
        <f t="shared" si="24"/>
        <v>1.25</v>
      </c>
      <c r="J52" s="58">
        <f t="shared" si="25"/>
        <v>2.2249595143146381E-2</v>
      </c>
      <c r="K52" s="62">
        <f t="shared" si="26"/>
        <v>1.707767056971389</v>
      </c>
      <c r="L52" s="22">
        <f t="shared" si="33"/>
        <v>40</v>
      </c>
      <c r="M52" s="22">
        <f t="shared" si="27"/>
        <v>0.69813170079773179</v>
      </c>
      <c r="N52" s="142" t="e">
        <f t="shared" si="28"/>
        <v>#N/A</v>
      </c>
      <c r="O52" s="144" t="e">
        <f t="shared" si="29"/>
        <v>#N/A</v>
      </c>
      <c r="P52" s="142">
        <f t="shared" si="30"/>
        <v>2.6362556270410353</v>
      </c>
      <c r="Q52" s="144">
        <f t="shared" si="31"/>
        <v>0.11259271457931318</v>
      </c>
    </row>
    <row r="53" spans="1:17" x14ac:dyDescent="0.25">
      <c r="A53" s="140">
        <f t="shared" si="32"/>
        <v>161</v>
      </c>
      <c r="B53" s="135">
        <f t="shared" si="17"/>
        <v>2.8099800957108707</v>
      </c>
      <c r="C53" s="136">
        <f t="shared" si="18"/>
        <v>1.736602605734358</v>
      </c>
      <c r="D53" s="61" t="e">
        <f t="shared" si="19"/>
        <v>#N/A</v>
      </c>
      <c r="E53" s="58" t="e">
        <f t="shared" si="20"/>
        <v>#N/A</v>
      </c>
      <c r="F53" s="58" t="e">
        <f t="shared" si="21"/>
        <v>#N/A</v>
      </c>
      <c r="G53" s="102" t="e">
        <f t="shared" si="22"/>
        <v>#N/A</v>
      </c>
      <c r="H53" s="61">
        <f t="shared" si="23"/>
        <v>39.218248399833122</v>
      </c>
      <c r="I53" s="58">
        <f t="shared" si="24"/>
        <v>1.25</v>
      </c>
      <c r="J53" s="58">
        <f t="shared" si="25"/>
        <v>2.2249595143146381E-2</v>
      </c>
      <c r="K53" s="62">
        <f t="shared" si="26"/>
        <v>1.6749851581499469</v>
      </c>
      <c r="L53" s="22">
        <f t="shared" si="33"/>
        <v>41</v>
      </c>
      <c r="M53" s="22">
        <f t="shared" si="27"/>
        <v>0.71558499331767511</v>
      </c>
      <c r="N53" s="142" t="e">
        <f t="shared" si="28"/>
        <v>#N/A</v>
      </c>
      <c r="O53" s="144" t="e">
        <f t="shared" si="29"/>
        <v>#N/A</v>
      </c>
      <c r="P53" s="142">
        <f t="shared" si="30"/>
        <v>3.9518472047867412</v>
      </c>
      <c r="Q53" s="144">
        <f t="shared" si="31"/>
        <v>0.16878075093538117</v>
      </c>
    </row>
    <row r="54" spans="1:17" x14ac:dyDescent="0.25">
      <c r="A54" s="140">
        <f t="shared" si="32"/>
        <v>162</v>
      </c>
      <c r="B54" s="135">
        <f t="shared" si="17"/>
        <v>2.8274333882308138</v>
      </c>
      <c r="C54" s="136">
        <f t="shared" si="18"/>
        <v>1.7278759594743862</v>
      </c>
      <c r="D54" s="61" t="e">
        <f t="shared" si="19"/>
        <v>#N/A</v>
      </c>
      <c r="E54" s="58" t="e">
        <f t="shared" si="20"/>
        <v>#N/A</v>
      </c>
      <c r="F54" s="58" t="e">
        <f t="shared" si="21"/>
        <v>#N/A</v>
      </c>
      <c r="G54" s="102" t="e">
        <f t="shared" si="22"/>
        <v>#N/A</v>
      </c>
      <c r="H54" s="61">
        <f t="shared" si="23"/>
        <v>38.461429404103782</v>
      </c>
      <c r="I54" s="58">
        <f t="shared" si="24"/>
        <v>1.25</v>
      </c>
      <c r="J54" s="58">
        <f t="shared" si="25"/>
        <v>2.2249595143146381E-2</v>
      </c>
      <c r="K54" s="62">
        <f t="shared" si="26"/>
        <v>1.6426619250384449</v>
      </c>
      <c r="L54" s="22">
        <f t="shared" si="33"/>
        <v>42</v>
      </c>
      <c r="M54" s="22">
        <f t="shared" si="27"/>
        <v>0.73303828583761843</v>
      </c>
      <c r="N54" s="142" t="e">
        <f t="shared" si="28"/>
        <v>#N/A</v>
      </c>
      <c r="O54" s="144" t="e">
        <f t="shared" si="29"/>
        <v>#N/A</v>
      </c>
      <c r="P54" s="142">
        <f t="shared" si="30"/>
        <v>5.2690458557371471</v>
      </c>
      <c r="Q54" s="144">
        <f t="shared" si="31"/>
        <v>0.22503742431313586</v>
      </c>
    </row>
    <row r="55" spans="1:17" x14ac:dyDescent="0.25">
      <c r="A55" s="140">
        <f t="shared" si="32"/>
        <v>163</v>
      </c>
      <c r="B55" s="135">
        <f t="shared" si="17"/>
        <v>2.8448866807507573</v>
      </c>
      <c r="C55" s="136">
        <f t="shared" si="18"/>
        <v>1.7191493132144147</v>
      </c>
      <c r="D55" s="61" t="e">
        <f t="shared" si="19"/>
        <v>#N/A</v>
      </c>
      <c r="E55" s="58" t="e">
        <f t="shared" si="20"/>
        <v>#N/A</v>
      </c>
      <c r="F55" s="58" t="e">
        <f t="shared" si="21"/>
        <v>#N/A</v>
      </c>
      <c r="G55" s="102" t="e">
        <f t="shared" si="22"/>
        <v>#N/A</v>
      </c>
      <c r="H55" s="61">
        <f t="shared" si="23"/>
        <v>37.715259276598715</v>
      </c>
      <c r="I55" s="58">
        <f t="shared" si="24"/>
        <v>1.25</v>
      </c>
      <c r="J55" s="58">
        <f t="shared" si="25"/>
        <v>2.2249595143146381E-2</v>
      </c>
      <c r="K55" s="62">
        <f t="shared" si="26"/>
        <v>1.6107934979663383</v>
      </c>
      <c r="L55" s="22">
        <f t="shared" si="33"/>
        <v>43</v>
      </c>
      <c r="M55" s="22">
        <f t="shared" si="27"/>
        <v>0.75049157835756175</v>
      </c>
      <c r="N55" s="142" t="e">
        <f t="shared" si="28"/>
        <v>#N/A</v>
      </c>
      <c r="O55" s="144" t="e">
        <f t="shared" si="29"/>
        <v>#N/A</v>
      </c>
      <c r="P55" s="142">
        <f t="shared" si="30"/>
        <v>6.5857414973817052</v>
      </c>
      <c r="Q55" s="144">
        <f t="shared" si="31"/>
        <v>0.28127261449987401</v>
      </c>
    </row>
    <row r="56" spans="1:17" x14ac:dyDescent="0.25">
      <c r="A56" s="140">
        <f t="shared" si="32"/>
        <v>164</v>
      </c>
      <c r="B56" s="135">
        <f t="shared" si="17"/>
        <v>2.8623399732707004</v>
      </c>
      <c r="C56" s="136">
        <f t="shared" si="18"/>
        <v>1.7104226669544429</v>
      </c>
      <c r="D56" s="61" t="e">
        <f t="shared" si="19"/>
        <v>#N/A</v>
      </c>
      <c r="E56" s="58" t="e">
        <f t="shared" si="20"/>
        <v>#N/A</v>
      </c>
      <c r="F56" s="58" t="e">
        <f t="shared" si="21"/>
        <v>#N/A</v>
      </c>
      <c r="G56" s="102" t="e">
        <f t="shared" si="22"/>
        <v>#N/A</v>
      </c>
      <c r="H56" s="61">
        <f t="shared" si="23"/>
        <v>36.979647795561675</v>
      </c>
      <c r="I56" s="58">
        <f t="shared" si="24"/>
        <v>1.25</v>
      </c>
      <c r="J56" s="58">
        <f t="shared" si="25"/>
        <v>2.2249595143146381E-2</v>
      </c>
      <c r="K56" s="62">
        <f t="shared" si="26"/>
        <v>1.5793760236227625</v>
      </c>
      <c r="L56" s="22">
        <f t="shared" si="33"/>
        <v>44</v>
      </c>
      <c r="M56" s="22">
        <f t="shared" si="27"/>
        <v>0.76794487087750496</v>
      </c>
      <c r="N56" s="142" t="e">
        <f t="shared" si="28"/>
        <v>#N/A</v>
      </c>
      <c r="O56" s="144" t="e">
        <f t="shared" si="29"/>
        <v>#N/A</v>
      </c>
      <c r="P56" s="142">
        <f t="shared" si="30"/>
        <v>7.8997907512921612</v>
      </c>
      <c r="Q56" s="144">
        <f t="shared" si="31"/>
        <v>0.33739477923651717</v>
      </c>
    </row>
    <row r="57" spans="1:17" x14ac:dyDescent="0.25">
      <c r="A57" s="140">
        <f t="shared" si="32"/>
        <v>165</v>
      </c>
      <c r="B57" s="135">
        <f t="shared" si="17"/>
        <v>2.8797932657906435</v>
      </c>
      <c r="C57" s="136">
        <f t="shared" si="18"/>
        <v>1.7016960206944713</v>
      </c>
      <c r="D57" s="61" t="e">
        <f t="shared" si="19"/>
        <v>#N/A</v>
      </c>
      <c r="E57" s="58" t="e">
        <f t="shared" si="20"/>
        <v>#N/A</v>
      </c>
      <c r="F57" s="58" t="e">
        <f t="shared" si="21"/>
        <v>#N/A</v>
      </c>
      <c r="G57" s="102" t="e">
        <f t="shared" si="22"/>
        <v>#N/A</v>
      </c>
      <c r="H57" s="61">
        <f t="shared" si="23"/>
        <v>36.254504891834259</v>
      </c>
      <c r="I57" s="58">
        <f t="shared" si="24"/>
        <v>1.25</v>
      </c>
      <c r="J57" s="58">
        <f t="shared" si="25"/>
        <v>2.2249595143146381E-2</v>
      </c>
      <c r="K57" s="62">
        <f t="shared" si="26"/>
        <v>1.5484056552142045</v>
      </c>
      <c r="L57" s="22">
        <f t="shared" si="33"/>
        <v>45</v>
      </c>
      <c r="M57" s="22">
        <f t="shared" si="27"/>
        <v>0.78539816339744828</v>
      </c>
      <c r="N57" s="142" t="e">
        <f t="shared" si="28"/>
        <v>#N/A</v>
      </c>
      <c r="O57" s="144" t="e">
        <f t="shared" si="29"/>
        <v>#N/A</v>
      </c>
      <c r="P57" s="142">
        <f t="shared" si="30"/>
        <v>9.209018126737341</v>
      </c>
      <c r="Q57" s="144">
        <f t="shared" si="31"/>
        <v>0.39331100476900716</v>
      </c>
    </row>
    <row r="58" spans="1:17" x14ac:dyDescent="0.25">
      <c r="A58" s="140">
        <f t="shared" si="32"/>
        <v>166</v>
      </c>
      <c r="B58" s="135">
        <f t="shared" si="17"/>
        <v>2.8972465583105871</v>
      </c>
      <c r="C58" s="136">
        <f t="shared" si="18"/>
        <v>1.6929693744344996</v>
      </c>
      <c r="D58" s="61" t="e">
        <f t="shared" si="19"/>
        <v>#N/A</v>
      </c>
      <c r="E58" s="58" t="e">
        <f t="shared" si="20"/>
        <v>#N/A</v>
      </c>
      <c r="F58" s="58" t="e">
        <f t="shared" si="21"/>
        <v>#N/A</v>
      </c>
      <c r="G58" s="102" t="e">
        <f t="shared" si="22"/>
        <v>#N/A</v>
      </c>
      <c r="H58" s="61">
        <f t="shared" si="23"/>
        <v>35.539740652535215</v>
      </c>
      <c r="I58" s="58">
        <f t="shared" si="24"/>
        <v>1.25</v>
      </c>
      <c r="J58" s="58">
        <f t="shared" si="25"/>
        <v>2.2249595143146381E-2</v>
      </c>
      <c r="K58" s="62">
        <f t="shared" si="26"/>
        <v>1.5178785526216436</v>
      </c>
      <c r="L58" s="22">
        <f t="shared" si="33"/>
        <v>46</v>
      </c>
      <c r="M58" s="22">
        <f t="shared" si="27"/>
        <v>0.8028514559173916</v>
      </c>
      <c r="N58" s="142" t="e">
        <f t="shared" si="28"/>
        <v>#N/A</v>
      </c>
      <c r="O58" s="144" t="e">
        <f t="shared" si="29"/>
        <v>#N/A</v>
      </c>
      <c r="P58" s="142">
        <f t="shared" si="30"/>
        <v>10.511217224108035</v>
      </c>
      <c r="Q58" s="144">
        <f t="shared" si="31"/>
        <v>0.44892705724577847</v>
      </c>
    </row>
    <row r="59" spans="1:17" x14ac:dyDescent="0.25">
      <c r="A59" s="140">
        <f t="shared" si="32"/>
        <v>167</v>
      </c>
      <c r="B59" s="135">
        <f t="shared" si="17"/>
        <v>2.9146998508305302</v>
      </c>
      <c r="C59" s="136">
        <f t="shared" si="18"/>
        <v>1.684242728174528</v>
      </c>
      <c r="D59" s="61" t="e">
        <f t="shared" si="19"/>
        <v>#N/A</v>
      </c>
      <c r="E59" s="58" t="e">
        <f t="shared" si="20"/>
        <v>#N/A</v>
      </c>
      <c r="F59" s="58" t="e">
        <f t="shared" si="21"/>
        <v>#N/A</v>
      </c>
      <c r="G59" s="102" t="e">
        <f t="shared" si="22"/>
        <v>#N/A</v>
      </c>
      <c r="H59" s="61">
        <f t="shared" si="23"/>
        <v>34.835265324733584</v>
      </c>
      <c r="I59" s="58">
        <f t="shared" si="24"/>
        <v>1.25</v>
      </c>
      <c r="J59" s="58">
        <f t="shared" si="25"/>
        <v>2.2249595143146381E-2</v>
      </c>
      <c r="K59" s="62">
        <f t="shared" si="26"/>
        <v>1.4877908825574302</v>
      </c>
      <c r="L59" s="22">
        <f t="shared" si="33"/>
        <v>47</v>
      </c>
      <c r="M59" s="22">
        <f t="shared" si="27"/>
        <v>0.82030474843733492</v>
      </c>
      <c r="N59" s="142" t="e">
        <f t="shared" si="28"/>
        <v>#N/A</v>
      </c>
      <c r="O59" s="144" t="e">
        <f t="shared" si="29"/>
        <v>#N/A</v>
      </c>
      <c r="P59" s="142">
        <f t="shared" si="30"/>
        <v>11.804151957618874</v>
      </c>
      <c r="Q59" s="144">
        <f t="shared" si="31"/>
        <v>0.50414743493853709</v>
      </c>
    </row>
    <row r="60" spans="1:17" x14ac:dyDescent="0.25">
      <c r="A60" s="140">
        <f t="shared" si="32"/>
        <v>168</v>
      </c>
      <c r="B60" s="135">
        <f t="shared" si="17"/>
        <v>2.9321531433504737</v>
      </c>
      <c r="C60" s="136">
        <f t="shared" si="18"/>
        <v>1.6755160819145565</v>
      </c>
      <c r="D60" s="61" t="e">
        <f t="shared" si="19"/>
        <v>#N/A</v>
      </c>
      <c r="E60" s="58" t="e">
        <f t="shared" si="20"/>
        <v>#N/A</v>
      </c>
      <c r="F60" s="58" t="e">
        <f t="shared" si="21"/>
        <v>#N/A</v>
      </c>
      <c r="G60" s="102" t="e">
        <f t="shared" si="22"/>
        <v>#N/A</v>
      </c>
      <c r="H60" s="61">
        <f t="shared" si="23"/>
        <v>34.140989319116507</v>
      </c>
      <c r="I60" s="58">
        <f t="shared" si="24"/>
        <v>1.25</v>
      </c>
      <c r="J60" s="58">
        <f t="shared" si="25"/>
        <v>2.2249595143146381E-2</v>
      </c>
      <c r="K60" s="62">
        <f t="shared" si="26"/>
        <v>1.4581388187219333</v>
      </c>
      <c r="L60" s="22">
        <f t="shared" si="33"/>
        <v>48</v>
      </c>
      <c r="M60" s="22">
        <f t="shared" si="27"/>
        <v>0.83775804095727824</v>
      </c>
      <c r="N60" s="142" t="e">
        <f t="shared" si="28"/>
        <v>#N/A</v>
      </c>
      <c r="O60" s="144" t="e">
        <f t="shared" si="29"/>
        <v>#N/A</v>
      </c>
      <c r="P60" s="142">
        <f t="shared" si="30"/>
        <v>13.085557796747491</v>
      </c>
      <c r="Q60" s="144">
        <f t="shared" si="31"/>
        <v>0.55887542126329715</v>
      </c>
    </row>
    <row r="61" spans="1:17" x14ac:dyDescent="0.25">
      <c r="A61" s="140">
        <f t="shared" si="32"/>
        <v>169</v>
      </c>
      <c r="B61" s="135">
        <f t="shared" si="17"/>
        <v>2.9496064358704168</v>
      </c>
      <c r="C61" s="136">
        <f t="shared" si="18"/>
        <v>1.6667894356545847</v>
      </c>
      <c r="D61" s="61" t="e">
        <f t="shared" si="19"/>
        <v>#N/A</v>
      </c>
      <c r="E61" s="58" t="e">
        <f t="shared" si="20"/>
        <v>#N/A</v>
      </c>
      <c r="F61" s="58" t="e">
        <f t="shared" si="21"/>
        <v>#N/A</v>
      </c>
      <c r="G61" s="102" t="e">
        <f t="shared" si="22"/>
        <v>#N/A</v>
      </c>
      <c r="H61" s="61">
        <f t="shared" si="23"/>
        <v>33.456823213645826</v>
      </c>
      <c r="I61" s="58">
        <f t="shared" si="24"/>
        <v>1.25</v>
      </c>
      <c r="J61" s="58">
        <f t="shared" si="25"/>
        <v>2.2249595143146381E-2</v>
      </c>
      <c r="K61" s="62">
        <f t="shared" si="26"/>
        <v>1.4289185419597124</v>
      </c>
      <c r="L61" s="22">
        <f t="shared" si="33"/>
        <v>49</v>
      </c>
      <c r="M61" s="22">
        <f t="shared" si="27"/>
        <v>0.85521133347722145</v>
      </c>
      <c r="N61" s="142" t="e">
        <f t="shared" si="28"/>
        <v>#N/A</v>
      </c>
      <c r="O61" s="144" t="e">
        <f t="shared" si="29"/>
        <v>#N/A</v>
      </c>
      <c r="P61" s="142">
        <f t="shared" si="30"/>
        <v>14.35314302586325</v>
      </c>
      <c r="Q61" s="144">
        <f t="shared" si="31"/>
        <v>0.61301313857828132</v>
      </c>
    </row>
    <row r="62" spans="1:17" x14ac:dyDescent="0.25">
      <c r="A62" s="140">
        <f t="shared" si="32"/>
        <v>170</v>
      </c>
      <c r="B62" s="135">
        <f t="shared" si="17"/>
        <v>2.9670597283903604</v>
      </c>
      <c r="C62" s="136">
        <f t="shared" si="18"/>
        <v>1.6580627893946132</v>
      </c>
      <c r="D62" s="61" t="e">
        <f t="shared" si="19"/>
        <v>#N/A</v>
      </c>
      <c r="E62" s="58" t="e">
        <f t="shared" si="20"/>
        <v>#N/A</v>
      </c>
      <c r="F62" s="58" t="e">
        <f t="shared" si="21"/>
        <v>#N/A</v>
      </c>
      <c r="G62" s="102" t="e">
        <f t="shared" si="22"/>
        <v>#N/A</v>
      </c>
      <c r="H62" s="61">
        <f t="shared" si="23"/>
        <v>32.78267775721136</v>
      </c>
      <c r="I62" s="58">
        <f t="shared" si="24"/>
        <v>1.25</v>
      </c>
      <c r="J62" s="58">
        <f t="shared" si="25"/>
        <v>2.2249595143146381E-2</v>
      </c>
      <c r="K62" s="62">
        <f t="shared" si="26"/>
        <v>1.4001262404155475</v>
      </c>
      <c r="L62" s="22">
        <f t="shared" si="33"/>
        <v>50</v>
      </c>
      <c r="M62" s="22">
        <f t="shared" si="27"/>
        <v>0.87266462599716477</v>
      </c>
      <c r="N62" s="142" t="e">
        <f t="shared" si="28"/>
        <v>#N/A</v>
      </c>
      <c r="O62" s="144" t="e">
        <f t="shared" si="29"/>
        <v>#N/A</v>
      </c>
      <c r="P62" s="142">
        <f t="shared" si="30"/>
        <v>15.604590021486979</v>
      </c>
      <c r="Q62" s="144">
        <f t="shared" si="31"/>
        <v>0.66646160273482968</v>
      </c>
    </row>
    <row r="63" spans="1:17" x14ac:dyDescent="0.25">
      <c r="A63" s="140" t="e">
        <f t="shared" si="32"/>
        <v>#N/A</v>
      </c>
      <c r="B63" s="135" t="e">
        <f t="shared" si="17"/>
        <v>#N/A</v>
      </c>
      <c r="C63" s="136" t="e">
        <f t="shared" si="18"/>
        <v>#N/A</v>
      </c>
      <c r="D63" s="61" t="e">
        <f t="shared" si="19"/>
        <v>#N/A</v>
      </c>
      <c r="E63" s="58" t="e">
        <f t="shared" si="20"/>
        <v>#N/A</v>
      </c>
      <c r="F63" s="58" t="e">
        <f t="shared" si="21"/>
        <v>#N/A</v>
      </c>
      <c r="G63" s="102" t="e">
        <f t="shared" si="22"/>
        <v>#N/A</v>
      </c>
      <c r="H63" s="61" t="e">
        <f t="shared" si="23"/>
        <v>#N/A</v>
      </c>
      <c r="I63" s="58">
        <f t="shared" si="24"/>
        <v>1.25</v>
      </c>
      <c r="J63" s="58">
        <f t="shared" si="25"/>
        <v>2.2249595143146381E-2</v>
      </c>
      <c r="K63" s="62" t="e">
        <f t="shared" si="26"/>
        <v>#N/A</v>
      </c>
      <c r="L63" s="22">
        <f t="shared" si="33"/>
        <v>51</v>
      </c>
      <c r="M63" s="22">
        <f t="shared" si="27"/>
        <v>0.89011791851710809</v>
      </c>
      <c r="N63" s="142" t="e">
        <f t="shared" si="28"/>
        <v>#N/A</v>
      </c>
      <c r="O63" s="144" t="e">
        <f t="shared" si="29"/>
        <v>#N/A</v>
      </c>
      <c r="P63" s="142">
        <f t="shared" si="30"/>
        <v>16.837556546615971</v>
      </c>
      <c r="Q63" s="144">
        <f t="shared" si="31"/>
        <v>0.7191207783571546</v>
      </c>
    </row>
    <row r="64" spans="1:17" x14ac:dyDescent="0.25">
      <c r="A64" s="140" t="e">
        <f t="shared" si="32"/>
        <v>#N/A</v>
      </c>
      <c r="B64" s="135" t="e">
        <f t="shared" si="17"/>
        <v>#N/A</v>
      </c>
      <c r="C64" s="136" t="e">
        <f t="shared" si="18"/>
        <v>#N/A</v>
      </c>
      <c r="D64" s="61" t="e">
        <f t="shared" si="19"/>
        <v>#N/A</v>
      </c>
      <c r="E64" s="58" t="e">
        <f t="shared" si="20"/>
        <v>#N/A</v>
      </c>
      <c r="F64" s="58" t="e">
        <f t="shared" si="21"/>
        <v>#N/A</v>
      </c>
      <c r="G64" s="102" t="e">
        <f t="shared" si="22"/>
        <v>#N/A</v>
      </c>
      <c r="H64" s="61" t="e">
        <f t="shared" si="23"/>
        <v>#N/A</v>
      </c>
      <c r="I64" s="58">
        <f t="shared" si="24"/>
        <v>1.25</v>
      </c>
      <c r="J64" s="58">
        <f t="shared" si="25"/>
        <v>2.2249595143146381E-2</v>
      </c>
      <c r="K64" s="62" t="e">
        <f t="shared" si="26"/>
        <v>#N/A</v>
      </c>
      <c r="L64" s="22">
        <f t="shared" si="33"/>
        <v>52</v>
      </c>
      <c r="M64" s="22">
        <f t="shared" si="27"/>
        <v>0.90757121103705141</v>
      </c>
      <c r="N64" s="142" t="e">
        <f t="shared" si="28"/>
        <v>#N/A</v>
      </c>
      <c r="O64" s="144" t="e">
        <f t="shared" si="29"/>
        <v>#N/A</v>
      </c>
      <c r="P64" s="142">
        <f t="shared" si="30"/>
        <v>18.04967706154272</v>
      </c>
      <c r="Q64" s="144">
        <f t="shared" si="31"/>
        <v>0.77088963482653261</v>
      </c>
    </row>
    <row r="65" spans="1:17" x14ac:dyDescent="0.25">
      <c r="A65" s="140" t="e">
        <f t="shared" si="32"/>
        <v>#N/A</v>
      </c>
      <c r="B65" s="135" t="e">
        <f t="shared" si="17"/>
        <v>#N/A</v>
      </c>
      <c r="C65" s="136" t="e">
        <f t="shared" si="18"/>
        <v>#N/A</v>
      </c>
      <c r="D65" s="61" t="e">
        <f t="shared" si="19"/>
        <v>#N/A</v>
      </c>
      <c r="E65" s="58" t="e">
        <f t="shared" si="20"/>
        <v>#N/A</v>
      </c>
      <c r="F65" s="58" t="e">
        <f t="shared" si="21"/>
        <v>#N/A</v>
      </c>
      <c r="G65" s="102" t="e">
        <f t="shared" si="22"/>
        <v>#N/A</v>
      </c>
      <c r="H65" s="61" t="e">
        <f t="shared" si="23"/>
        <v>#N/A</v>
      </c>
      <c r="I65" s="58">
        <f t="shared" si="24"/>
        <v>1.25</v>
      </c>
      <c r="J65" s="58">
        <f t="shared" si="25"/>
        <v>2.2249595143146381E-2</v>
      </c>
      <c r="K65" s="62" t="e">
        <f t="shared" si="26"/>
        <v>#N/A</v>
      </c>
      <c r="L65" s="22">
        <f t="shared" si="33"/>
        <v>53</v>
      </c>
      <c r="M65" s="22">
        <f t="shared" si="27"/>
        <v>0.92502450355699462</v>
      </c>
      <c r="N65" s="142" t="e">
        <f t="shared" si="28"/>
        <v>#N/A</v>
      </c>
      <c r="O65" s="144" t="e">
        <f t="shared" si="29"/>
        <v>#N/A</v>
      </c>
      <c r="P65" s="142">
        <f t="shared" si="30"/>
        <v>19.238564050583939</v>
      </c>
      <c r="Q65" s="144">
        <f t="shared" si="31"/>
        <v>0.82166620294501325</v>
      </c>
    </row>
    <row r="66" spans="1:17" x14ac:dyDescent="0.25">
      <c r="A66" s="140" t="e">
        <f t="shared" si="32"/>
        <v>#N/A</v>
      </c>
      <c r="B66" s="135" t="e">
        <f t="shared" si="17"/>
        <v>#N/A</v>
      </c>
      <c r="C66" s="136" t="e">
        <f t="shared" si="18"/>
        <v>#N/A</v>
      </c>
      <c r="D66" s="61" t="e">
        <f t="shared" si="19"/>
        <v>#N/A</v>
      </c>
      <c r="E66" s="58" t="e">
        <f t="shared" si="20"/>
        <v>#N/A</v>
      </c>
      <c r="F66" s="58" t="e">
        <f t="shared" si="21"/>
        <v>#N/A</v>
      </c>
      <c r="G66" s="102" t="e">
        <f t="shared" si="22"/>
        <v>#N/A</v>
      </c>
      <c r="H66" s="61" t="e">
        <f t="shared" si="23"/>
        <v>#N/A</v>
      </c>
      <c r="I66" s="58">
        <f t="shared" si="24"/>
        <v>1.25</v>
      </c>
      <c r="J66" s="58">
        <f t="shared" si="25"/>
        <v>2.2249595143146381E-2</v>
      </c>
      <c r="K66" s="62" t="e">
        <f t="shared" si="26"/>
        <v>#N/A</v>
      </c>
      <c r="L66" s="22">
        <f t="shared" si="33"/>
        <v>54</v>
      </c>
      <c r="M66" s="22">
        <f t="shared" si="27"/>
        <v>0.94247779607693793</v>
      </c>
      <c r="N66" s="142" t="e">
        <f t="shared" si="28"/>
        <v>#N/A</v>
      </c>
      <c r="O66" s="144" t="e">
        <f t="shared" si="29"/>
        <v>#N/A</v>
      </c>
      <c r="P66" s="142">
        <f t="shared" si="30"/>
        <v>20.401809364132209</v>
      </c>
      <c r="Q66" s="144">
        <f t="shared" si="31"/>
        <v>0.87134763225354717</v>
      </c>
    </row>
    <row r="67" spans="1:17" x14ac:dyDescent="0.25">
      <c r="A67" s="140" t="e">
        <f t="shared" si="32"/>
        <v>#N/A</v>
      </c>
      <c r="B67" s="135" t="e">
        <f t="shared" si="17"/>
        <v>#N/A</v>
      </c>
      <c r="C67" s="136" t="e">
        <f t="shared" si="18"/>
        <v>#N/A</v>
      </c>
      <c r="D67" s="61" t="e">
        <f t="shared" si="19"/>
        <v>#N/A</v>
      </c>
      <c r="E67" s="58" t="e">
        <f t="shared" si="20"/>
        <v>#N/A</v>
      </c>
      <c r="F67" s="58" t="e">
        <f t="shared" si="21"/>
        <v>#N/A</v>
      </c>
      <c r="G67" s="102" t="e">
        <f t="shared" si="22"/>
        <v>#N/A</v>
      </c>
      <c r="H67" s="61" t="e">
        <f t="shared" si="23"/>
        <v>#N/A</v>
      </c>
      <c r="I67" s="58">
        <f t="shared" si="24"/>
        <v>1.25</v>
      </c>
      <c r="J67" s="58">
        <f t="shared" si="25"/>
        <v>2.2249595143146381E-2</v>
      </c>
      <c r="K67" s="62" t="e">
        <f t="shared" si="26"/>
        <v>#N/A</v>
      </c>
      <c r="L67" s="22">
        <f t="shared" si="33"/>
        <v>55</v>
      </c>
      <c r="M67" s="22">
        <f t="shared" si="27"/>
        <v>0.95993108859688125</v>
      </c>
      <c r="N67" s="142" t="e">
        <f t="shared" si="28"/>
        <v>#N/A</v>
      </c>
      <c r="O67" s="144" t="e">
        <f t="shared" si="29"/>
        <v>#N/A</v>
      </c>
      <c r="P67" s="142">
        <f t="shared" si="30"/>
        <v>21.536985575434127</v>
      </c>
      <c r="Q67" s="144">
        <f t="shared" si="31"/>
        <v>0.91983024897907362</v>
      </c>
    </row>
    <row r="68" spans="1:17" x14ac:dyDescent="0.25">
      <c r="A68" s="140" t="e">
        <f t="shared" si="32"/>
        <v>#N/A</v>
      </c>
      <c r="B68" s="135" t="e">
        <f t="shared" si="17"/>
        <v>#N/A</v>
      </c>
      <c r="C68" s="136" t="e">
        <f t="shared" si="18"/>
        <v>#N/A</v>
      </c>
      <c r="D68" s="61" t="e">
        <f t="shared" si="19"/>
        <v>#N/A</v>
      </c>
      <c r="E68" s="58" t="e">
        <f t="shared" si="20"/>
        <v>#N/A</v>
      </c>
      <c r="F68" s="58" t="e">
        <f t="shared" si="21"/>
        <v>#N/A</v>
      </c>
      <c r="G68" s="102" t="e">
        <f t="shared" si="22"/>
        <v>#N/A</v>
      </c>
      <c r="H68" s="61" t="e">
        <f t="shared" si="23"/>
        <v>#N/A</v>
      </c>
      <c r="I68" s="58">
        <f t="shared" si="24"/>
        <v>1.25</v>
      </c>
      <c r="J68" s="58">
        <f t="shared" si="25"/>
        <v>2.2249595143146381E-2</v>
      </c>
      <c r="K68" s="62" t="e">
        <f t="shared" si="26"/>
        <v>#N/A</v>
      </c>
      <c r="L68" s="22">
        <f t="shared" si="33"/>
        <v>56</v>
      </c>
      <c r="M68" s="22">
        <f t="shared" si="27"/>
        <v>0.97738438111682457</v>
      </c>
      <c r="N68" s="142" t="e">
        <f t="shared" si="28"/>
        <v>#N/A</v>
      </c>
      <c r="O68" s="144" t="e">
        <f t="shared" si="29"/>
        <v>#N/A</v>
      </c>
      <c r="P68" s="142">
        <f t="shared" si="30"/>
        <v>22.641647351491414</v>
      </c>
      <c r="Q68" s="144">
        <f t="shared" si="31"/>
        <v>0.96700961458478973</v>
      </c>
    </row>
    <row r="69" spans="1:17" x14ac:dyDescent="0.25">
      <c r="A69" s="140" t="e">
        <f t="shared" si="32"/>
        <v>#N/A</v>
      </c>
      <c r="B69" s="135" t="e">
        <f t="shared" si="17"/>
        <v>#N/A</v>
      </c>
      <c r="C69" s="136" t="e">
        <f t="shared" si="18"/>
        <v>#N/A</v>
      </c>
      <c r="D69" s="61" t="e">
        <f t="shared" si="19"/>
        <v>#N/A</v>
      </c>
      <c r="E69" s="58" t="e">
        <f t="shared" si="20"/>
        <v>#N/A</v>
      </c>
      <c r="F69" s="58" t="e">
        <f t="shared" si="21"/>
        <v>#N/A</v>
      </c>
      <c r="G69" s="102" t="e">
        <f t="shared" si="22"/>
        <v>#N/A</v>
      </c>
      <c r="H69" s="61" t="e">
        <f t="shared" si="23"/>
        <v>#N/A</v>
      </c>
      <c r="I69" s="58">
        <f t="shared" si="24"/>
        <v>1.25</v>
      </c>
      <c r="J69" s="58">
        <f t="shared" si="25"/>
        <v>2.2249595143146381E-2</v>
      </c>
      <c r="K69" s="62" t="e">
        <f t="shared" si="26"/>
        <v>#N/A</v>
      </c>
      <c r="L69" s="22">
        <f t="shared" si="33"/>
        <v>57</v>
      </c>
      <c r="M69" s="22">
        <f t="shared" si="27"/>
        <v>0.99483767363676789</v>
      </c>
      <c r="N69" s="142" t="e">
        <f t="shared" si="28"/>
        <v>#N/A</v>
      </c>
      <c r="O69" s="144" t="e">
        <f t="shared" si="29"/>
        <v>#N/A</v>
      </c>
      <c r="P69" s="142">
        <f t="shared" si="30"/>
        <v>23.71333283747601</v>
      </c>
      <c r="Q69" s="144">
        <f t="shared" si="31"/>
        <v>1.012780584897593</v>
      </c>
    </row>
    <row r="70" spans="1:17" x14ac:dyDescent="0.25">
      <c r="A70" s="140" t="e">
        <f t="shared" si="32"/>
        <v>#N/A</v>
      </c>
      <c r="B70" s="135" t="e">
        <f t="shared" si="17"/>
        <v>#N/A</v>
      </c>
      <c r="C70" s="136" t="e">
        <f t="shared" si="18"/>
        <v>#N/A</v>
      </c>
      <c r="D70" s="61" t="e">
        <f t="shared" si="19"/>
        <v>#N/A</v>
      </c>
      <c r="E70" s="58" t="e">
        <f t="shared" si="20"/>
        <v>#N/A</v>
      </c>
      <c r="F70" s="58" t="e">
        <f t="shared" si="21"/>
        <v>#N/A</v>
      </c>
      <c r="G70" s="102" t="e">
        <f t="shared" si="22"/>
        <v>#N/A</v>
      </c>
      <c r="H70" s="61" t="e">
        <f t="shared" si="23"/>
        <v>#N/A</v>
      </c>
      <c r="I70" s="58">
        <f t="shared" si="24"/>
        <v>1.25</v>
      </c>
      <c r="J70" s="58">
        <f t="shared" si="25"/>
        <v>2.2249595143146381E-2</v>
      </c>
      <c r="K70" s="62" t="e">
        <f t="shared" si="26"/>
        <v>#N/A</v>
      </c>
      <c r="L70" s="22">
        <f t="shared" si="33"/>
        <v>58</v>
      </c>
      <c r="M70" s="22">
        <f t="shared" si="27"/>
        <v>1.0122909661567112</v>
      </c>
      <c r="N70" s="142" t="e">
        <f t="shared" si="28"/>
        <v>#N/A</v>
      </c>
      <c r="O70" s="144" t="e">
        <f t="shared" si="29"/>
        <v>#N/A</v>
      </c>
      <c r="P70" s="142">
        <f t="shared" si="30"/>
        <v>24.749565054040815</v>
      </c>
      <c r="Q70" s="144">
        <f t="shared" si="31"/>
        <v>1.0570373697862891</v>
      </c>
    </row>
    <row r="71" spans="1:17" x14ac:dyDescent="0.25">
      <c r="A71" s="140" t="e">
        <f t="shared" si="32"/>
        <v>#N/A</v>
      </c>
      <c r="B71" s="135" t="e">
        <f t="shared" si="17"/>
        <v>#N/A</v>
      </c>
      <c r="C71" s="136" t="e">
        <f t="shared" si="18"/>
        <v>#N/A</v>
      </c>
      <c r="D71" s="61" t="e">
        <f t="shared" si="19"/>
        <v>#N/A</v>
      </c>
      <c r="E71" s="58" t="e">
        <f t="shared" si="20"/>
        <v>#N/A</v>
      </c>
      <c r="F71" s="58" t="e">
        <f t="shared" si="21"/>
        <v>#N/A</v>
      </c>
      <c r="G71" s="102" t="e">
        <f t="shared" si="22"/>
        <v>#N/A</v>
      </c>
      <c r="H71" s="61" t="e">
        <f t="shared" si="23"/>
        <v>#N/A</v>
      </c>
      <c r="I71" s="58">
        <f t="shared" si="24"/>
        <v>1.25</v>
      </c>
      <c r="J71" s="58">
        <f t="shared" si="25"/>
        <v>2.2249595143146381E-2</v>
      </c>
      <c r="K71" s="62" t="e">
        <f t="shared" si="26"/>
        <v>#N/A</v>
      </c>
      <c r="L71" s="22">
        <f t="shared" si="33"/>
        <v>59</v>
      </c>
      <c r="M71" s="22">
        <f t="shared" si="27"/>
        <v>1.0297442586766545</v>
      </c>
      <c r="N71" s="142" t="e">
        <f t="shared" si="28"/>
        <v>#N/A</v>
      </c>
      <c r="O71" s="144" t="e">
        <f t="shared" si="29"/>
        <v>#N/A</v>
      </c>
      <c r="P71" s="142">
        <f t="shared" si="30"/>
        <v>25.747853306905217</v>
      </c>
      <c r="Q71" s="144">
        <f t="shared" si="31"/>
        <v>1.0996735933640469</v>
      </c>
    </row>
    <row r="72" spans="1:17" x14ac:dyDescent="0.25">
      <c r="A72" s="140" t="e">
        <f t="shared" si="32"/>
        <v>#N/A</v>
      </c>
      <c r="B72" s="135" t="e">
        <f t="shared" si="17"/>
        <v>#N/A</v>
      </c>
      <c r="C72" s="136" t="e">
        <f t="shared" si="18"/>
        <v>#N/A</v>
      </c>
      <c r="D72" s="61" t="e">
        <f t="shared" si="19"/>
        <v>#N/A</v>
      </c>
      <c r="E72" s="58" t="e">
        <f t="shared" si="20"/>
        <v>#N/A</v>
      </c>
      <c r="F72" s="58" t="e">
        <f t="shared" si="21"/>
        <v>#N/A</v>
      </c>
      <c r="G72" s="102" t="e">
        <f t="shared" si="22"/>
        <v>#N/A</v>
      </c>
      <c r="H72" s="61" t="e">
        <f t="shared" si="23"/>
        <v>#N/A</v>
      </c>
      <c r="I72" s="58">
        <f t="shared" si="24"/>
        <v>1.25</v>
      </c>
      <c r="J72" s="58">
        <f t="shared" si="25"/>
        <v>2.2249595143146381E-2</v>
      </c>
      <c r="K72" s="62" t="e">
        <f t="shared" si="26"/>
        <v>#N/A</v>
      </c>
      <c r="L72" s="22">
        <f t="shared" si="33"/>
        <v>60</v>
      </c>
      <c r="M72" s="22">
        <f t="shared" si="27"/>
        <v>1.0471975511965976</v>
      </c>
      <c r="N72" s="142" t="e">
        <f t="shared" si="28"/>
        <v>#N/A</v>
      </c>
      <c r="O72" s="144" t="e">
        <f t="shared" si="29"/>
        <v>#N/A</v>
      </c>
      <c r="P72" s="142">
        <f t="shared" si="30"/>
        <v>26.705694608085381</v>
      </c>
      <c r="Q72" s="144">
        <f t="shared" si="31"/>
        <v>1.1405823546881919</v>
      </c>
    </row>
    <row r="73" spans="1:17" x14ac:dyDescent="0.25">
      <c r="A73" s="140" t="e">
        <f t="shared" si="32"/>
        <v>#N/A</v>
      </c>
      <c r="B73" s="135" t="e">
        <f t="shared" si="17"/>
        <v>#N/A</v>
      </c>
      <c r="C73" s="136" t="e">
        <f t="shared" si="18"/>
        <v>#N/A</v>
      </c>
      <c r="D73" s="61" t="e">
        <f t="shared" si="19"/>
        <v>#N/A</v>
      </c>
      <c r="E73" s="58" t="e">
        <f t="shared" si="20"/>
        <v>#N/A</v>
      </c>
      <c r="F73" s="58" t="e">
        <f t="shared" si="21"/>
        <v>#N/A</v>
      </c>
      <c r="G73" s="102" t="e">
        <f t="shared" si="22"/>
        <v>#N/A</v>
      </c>
      <c r="H73" s="61" t="e">
        <f t="shared" si="23"/>
        <v>#N/A</v>
      </c>
      <c r="I73" s="58">
        <f t="shared" si="24"/>
        <v>1.25</v>
      </c>
      <c r="J73" s="58">
        <f t="shared" si="25"/>
        <v>2.2249595143146381E-2</v>
      </c>
      <c r="K73" s="62" t="e">
        <f t="shared" si="26"/>
        <v>#N/A</v>
      </c>
      <c r="L73" s="22">
        <f t="shared" si="33"/>
        <v>61</v>
      </c>
      <c r="M73" s="22">
        <f t="shared" si="27"/>
        <v>1.064650843716541</v>
      </c>
      <c r="N73" s="142" t="e">
        <f t="shared" si="28"/>
        <v>#N/A</v>
      </c>
      <c r="O73" s="144" t="e">
        <f t="shared" si="29"/>
        <v>#N/A</v>
      </c>
      <c r="P73" s="142">
        <f t="shared" si="30"/>
        <v>27.620575108134631</v>
      </c>
      <c r="Q73" s="144">
        <f t="shared" si="31"/>
        <v>1.1796562889302378</v>
      </c>
    </row>
    <row r="74" spans="1:17" x14ac:dyDescent="0.25">
      <c r="A74" s="140" t="e">
        <f t="shared" si="32"/>
        <v>#N/A</v>
      </c>
      <c r="B74" s="135" t="e">
        <f t="shared" si="17"/>
        <v>#N/A</v>
      </c>
      <c r="C74" s="136" t="e">
        <f t="shared" si="18"/>
        <v>#N/A</v>
      </c>
      <c r="D74" s="61" t="e">
        <f t="shared" si="19"/>
        <v>#N/A</v>
      </c>
      <c r="E74" s="58" t="e">
        <f t="shared" si="20"/>
        <v>#N/A</v>
      </c>
      <c r="F74" s="58" t="e">
        <f t="shared" si="21"/>
        <v>#N/A</v>
      </c>
      <c r="G74" s="102" t="e">
        <f t="shared" si="22"/>
        <v>#N/A</v>
      </c>
      <c r="H74" s="61" t="e">
        <f t="shared" si="23"/>
        <v>#N/A</v>
      </c>
      <c r="I74" s="58">
        <f t="shared" si="24"/>
        <v>1.25</v>
      </c>
      <c r="J74" s="58">
        <f t="shared" si="25"/>
        <v>2.2249595143146381E-2</v>
      </c>
      <c r="K74" s="62" t="e">
        <f t="shared" si="26"/>
        <v>#N/A</v>
      </c>
      <c r="L74" s="22">
        <f t="shared" si="33"/>
        <v>62</v>
      </c>
      <c r="M74" s="22">
        <f t="shared" si="27"/>
        <v>1.0821041362364843</v>
      </c>
      <c r="N74" s="142" t="e">
        <f t="shared" si="28"/>
        <v>#N/A</v>
      </c>
      <c r="O74" s="144" t="e">
        <f t="shared" si="29"/>
        <v>#N/A</v>
      </c>
      <c r="P74" s="142">
        <f t="shared" si="30"/>
        <v>28.489971538754304</v>
      </c>
      <c r="Q74" s="144">
        <f t="shared" si="31"/>
        <v>1.2167876289888286</v>
      </c>
    </row>
    <row r="75" spans="1:17" x14ac:dyDescent="0.25">
      <c r="A75" s="140" t="e">
        <f t="shared" si="32"/>
        <v>#N/A</v>
      </c>
      <c r="B75" s="135" t="e">
        <f t="shared" si="17"/>
        <v>#N/A</v>
      </c>
      <c r="C75" s="136" t="e">
        <f t="shared" si="18"/>
        <v>#N/A</v>
      </c>
      <c r="D75" s="61" t="e">
        <f t="shared" si="19"/>
        <v>#N/A</v>
      </c>
      <c r="E75" s="58" t="e">
        <f t="shared" si="20"/>
        <v>#N/A</v>
      </c>
      <c r="F75" s="58" t="e">
        <f t="shared" si="21"/>
        <v>#N/A</v>
      </c>
      <c r="G75" s="102" t="e">
        <f t="shared" si="22"/>
        <v>#N/A</v>
      </c>
      <c r="H75" s="61" t="e">
        <f t="shared" si="23"/>
        <v>#N/A</v>
      </c>
      <c r="I75" s="58">
        <f t="shared" si="24"/>
        <v>1.25</v>
      </c>
      <c r="J75" s="58">
        <f t="shared" si="25"/>
        <v>2.2249595143146381E-2</v>
      </c>
      <c r="K75" s="62" t="e">
        <f t="shared" si="26"/>
        <v>#N/A</v>
      </c>
      <c r="L75" s="22">
        <f t="shared" si="33"/>
        <v>63</v>
      </c>
      <c r="M75" s="22">
        <f t="shared" si="27"/>
        <v>1.0995574287564276</v>
      </c>
      <c r="N75" s="142" t="e">
        <f t="shared" si="28"/>
        <v>#N/A</v>
      </c>
      <c r="O75" s="144" t="e">
        <f t="shared" si="29"/>
        <v>#N/A</v>
      </c>
      <c r="P75" s="142">
        <f t="shared" si="30"/>
        <v>29.311352665128268</v>
      </c>
      <c r="Q75" s="144">
        <f t="shared" si="31"/>
        <v>1.2518682675179764</v>
      </c>
    </row>
    <row r="76" spans="1:17" x14ac:dyDescent="0.25">
      <c r="A76" s="140" t="e">
        <f t="shared" si="32"/>
        <v>#N/A</v>
      </c>
      <c r="B76" s="135" t="e">
        <f t="shared" ref="B76:B107" si="34">A76*Deg_to_Rad</f>
        <v>#N/A</v>
      </c>
      <c r="C76" s="136" t="e">
        <f t="shared" ref="C76:C107" si="35">(180-A76*0.5)*Deg_to_Rad</f>
        <v>#N/A</v>
      </c>
      <c r="D76" s="61" t="e">
        <f t="shared" ref="D76:D107" si="36">IF(Load_Case=1,ABS(((FA_SUS*D*0.5)/PI())*(COS(C76)+(0.5*C76*SIN(C76))-(1.5*SIN(C76)/C76)+(0.5*COS(C76))-(0.25*(COS(C76)-SIN(C76)/C76 ))*(9-(4-6*(SIN(C76)/C76)^2 +(2*(COS(C76))^2))/((SIN(C76)/C76)*COS(C76)+1-(2*(SIN(C76)/C76)^2 ))))),NA())</f>
        <v>#N/A</v>
      </c>
      <c r="E76" s="58" t="e">
        <f t="shared" ref="E76:E107" si="37">IF(Load_Case=1,0.25*FA_SUS,NA())</f>
        <v>#N/A</v>
      </c>
      <c r="F76" s="58" t="e">
        <f t="shared" ref="F76:F107" si="38">IF(SC_mem,(E76*1000/(4*tnet_Saddle_Zick*(4*0.5*D+1.56*SQRT((0.5*D*tnet_Saddle_Zick))))),NA())</f>
        <v>#N/A</v>
      </c>
      <c r="G76" s="102" t="e">
        <f t="shared" ref="G76:G107" si="39">IF(SC_bend,D76*1000/(4*0.5*D*tnet_Saddle_Zick^2/6),NA())</f>
        <v>#N/A</v>
      </c>
      <c r="H76" s="61" t="e">
        <f t="shared" ref="H76:H107" si="40">IF(Load_Case=2,ABS(((FA_EXP*D*0.5)/PI())*(COS(C76)+(0.5*C76*SIN(C76))-(1.5*SIN(C76)/C76)+(0.5*COS(C76))-(0.25*(COS(C76)-SIN(C76)/C76 ))*(9-(4-6*(SIN(C76)/C76)^2 +(2*(COS(C76))^2))/((SIN(C76)/C76)*COS(C76)+1-(2*(SIN(C76)/C76)^2 ))))),NA())</f>
        <v>#N/A</v>
      </c>
      <c r="I76" s="58">
        <f t="shared" ref="I76:I107" si="41">IF(Load_Case=2,0.25*FA_EXP,NA())</f>
        <v>1.25</v>
      </c>
      <c r="J76" s="58">
        <f t="shared" ref="J76:J107" si="42">IF(SC_mem,(I76*1000/(4*tnet_Saddle_Zick*(4*0.5*D+1.56*SQRT((0.5*D*tnet_Saddle_Zick))))),NA())</f>
        <v>2.2249595143146381E-2</v>
      </c>
      <c r="K76" s="62" t="e">
        <f t="shared" ref="K76:K107" si="43">IF(SC_bend,H76*1000/(4*0.5*D*tnet_Saddle_Zick^2/6),NA())</f>
        <v>#N/A</v>
      </c>
      <c r="L76" s="22">
        <f t="shared" si="33"/>
        <v>64</v>
      </c>
      <c r="M76" s="22">
        <f t="shared" ref="M76:M107" si="44">L76*Deg_to_Rad</f>
        <v>1.1170107212763709</v>
      </c>
      <c r="N76" s="142" t="e">
        <f t="shared" ref="N76:N107" si="45">IF(Load_Case=1,ABS(((FA_SUS*D*0.5)/PI())*(COS(M76)+(0.5*M76*SIN(M76))-(1.5*SIN(Beta)/Beta)+(0.5*COS(Beta))-(0.25*(COS(M76)-SIN(Beta)/Beta))*(9-(4-6*(SIN(Beta)/Beta)^2 +(2*(COS(Beta))^2))/((SIN(Beta)/Beta)*COS(Beta)+1-(2*(SIN(Beta)/Beta)^2 ))))),NA())</f>
        <v>#N/A</v>
      </c>
      <c r="O76" s="144" t="e">
        <f t="shared" ref="O76:O107" si="46">N76*1000/(4*0.5*D*tnet_Saddle_Zick^2/6)</f>
        <v>#N/A</v>
      </c>
      <c r="P76" s="142">
        <f t="shared" ref="P76:P107" si="47">IF(Load_Case=2,ABS(((FA_EXP*D*0.5)/PI())*(COS(M76)+(0.5*M76*SIN(M76))-(1.5*SIN(Beta)/Beta)+(0.5*COS(Beta))-(0.25*(COS(M76)-SIN(Beta)/Beta))*(9-(4-6*(SIN(Beta)/Beta)^2 +(2*(COS(Beta))^2))/((SIN(Beta)/Beta)*COS(Beta)+1-(2*(SIN(Beta)/Beta)^2 ))))),NA())</f>
        <v>30.082180747331464</v>
      </c>
      <c r="Q76" s="144">
        <f t="shared" ref="Q76:Q107" si="48">P76*1000/(4*0.5*D*tnet_Saddle_Zick^2/6)</f>
        <v>1.2847898193428413</v>
      </c>
    </row>
    <row r="77" spans="1:17" x14ac:dyDescent="0.25">
      <c r="A77" s="140" t="e">
        <f t="shared" ref="A77:A108" si="49">IF((A76+SaddleAngle_Increment)&gt;Maz_zick_saddleangle,NA(),A76+SaddleAngle_Increment)</f>
        <v>#N/A</v>
      </c>
      <c r="B77" s="135" t="e">
        <f t="shared" si="34"/>
        <v>#N/A</v>
      </c>
      <c r="C77" s="136" t="e">
        <f t="shared" si="35"/>
        <v>#N/A</v>
      </c>
      <c r="D77" s="61" t="e">
        <f t="shared" si="36"/>
        <v>#N/A</v>
      </c>
      <c r="E77" s="58" t="e">
        <f t="shared" si="37"/>
        <v>#N/A</v>
      </c>
      <c r="F77" s="58" t="e">
        <f t="shared" si="38"/>
        <v>#N/A</v>
      </c>
      <c r="G77" s="102" t="e">
        <f t="shared" si="39"/>
        <v>#N/A</v>
      </c>
      <c r="H77" s="61" t="e">
        <f t="shared" si="40"/>
        <v>#N/A</v>
      </c>
      <c r="I77" s="58">
        <f t="shared" si="41"/>
        <v>1.25</v>
      </c>
      <c r="J77" s="58">
        <f t="shared" si="42"/>
        <v>2.2249595143146381E-2</v>
      </c>
      <c r="K77" s="62" t="e">
        <f t="shared" si="43"/>
        <v>#N/A</v>
      </c>
      <c r="L77" s="22">
        <f t="shared" ref="L77:L108" si="50">IF((L76+1)&gt;Beta_Deg,NA(),L76+1)</f>
        <v>65</v>
      </c>
      <c r="M77" s="22">
        <f t="shared" si="44"/>
        <v>1.1344640137963142</v>
      </c>
      <c r="N77" s="142" t="e">
        <f t="shared" si="45"/>
        <v>#N/A</v>
      </c>
      <c r="O77" s="144" t="e">
        <f t="shared" si="46"/>
        <v>#N/A</v>
      </c>
      <c r="P77" s="142">
        <f t="shared" si="47"/>
        <v>30.799913010156924</v>
      </c>
      <c r="Q77" s="144">
        <f t="shared" si="48"/>
        <v>1.3154436842350619</v>
      </c>
    </row>
    <row r="78" spans="1:17" x14ac:dyDescent="0.25">
      <c r="A78" s="140" t="e">
        <f t="shared" si="49"/>
        <v>#N/A</v>
      </c>
      <c r="B78" s="135" t="e">
        <f t="shared" si="34"/>
        <v>#N/A</v>
      </c>
      <c r="C78" s="136" t="e">
        <f t="shared" si="35"/>
        <v>#N/A</v>
      </c>
      <c r="D78" s="61" t="e">
        <f t="shared" si="36"/>
        <v>#N/A</v>
      </c>
      <c r="E78" s="58" t="e">
        <f t="shared" si="37"/>
        <v>#N/A</v>
      </c>
      <c r="F78" s="58" t="e">
        <f t="shared" si="38"/>
        <v>#N/A</v>
      </c>
      <c r="G78" s="102" t="e">
        <f t="shared" si="39"/>
        <v>#N/A</v>
      </c>
      <c r="H78" s="61" t="e">
        <f t="shared" si="40"/>
        <v>#N/A</v>
      </c>
      <c r="I78" s="58">
        <f t="shared" si="41"/>
        <v>1.25</v>
      </c>
      <c r="J78" s="58">
        <f t="shared" si="42"/>
        <v>2.2249595143146381E-2</v>
      </c>
      <c r="K78" s="62" t="e">
        <f t="shared" si="43"/>
        <v>#N/A</v>
      </c>
      <c r="L78" s="22">
        <f t="shared" si="50"/>
        <v>66</v>
      </c>
      <c r="M78" s="22">
        <f t="shared" si="44"/>
        <v>1.1519173063162575</v>
      </c>
      <c r="N78" s="142" t="e">
        <f t="shared" si="45"/>
        <v>#N/A</v>
      </c>
      <c r="O78" s="144" t="e">
        <f t="shared" si="46"/>
        <v>#N/A</v>
      </c>
      <c r="P78" s="142">
        <f t="shared" si="47"/>
        <v>31.462003120700743</v>
      </c>
      <c r="Q78" s="144">
        <f t="shared" si="48"/>
        <v>1.3437211100194186</v>
      </c>
    </row>
    <row r="79" spans="1:17" x14ac:dyDescent="0.25">
      <c r="A79" s="140" t="e">
        <f t="shared" si="49"/>
        <v>#N/A</v>
      </c>
      <c r="B79" s="135" t="e">
        <f t="shared" si="34"/>
        <v>#N/A</v>
      </c>
      <c r="C79" s="136" t="e">
        <f t="shared" si="35"/>
        <v>#N/A</v>
      </c>
      <c r="D79" s="61" t="e">
        <f t="shared" si="36"/>
        <v>#N/A</v>
      </c>
      <c r="E79" s="58" t="e">
        <f t="shared" si="37"/>
        <v>#N/A</v>
      </c>
      <c r="F79" s="58" t="e">
        <f t="shared" si="38"/>
        <v>#N/A</v>
      </c>
      <c r="G79" s="102" t="e">
        <f t="shared" si="39"/>
        <v>#N/A</v>
      </c>
      <c r="H79" s="61" t="e">
        <f t="shared" si="40"/>
        <v>#N/A</v>
      </c>
      <c r="I79" s="58">
        <f t="shared" si="41"/>
        <v>1.25</v>
      </c>
      <c r="J79" s="58">
        <f t="shared" si="42"/>
        <v>2.2249595143146381E-2</v>
      </c>
      <c r="K79" s="62" t="e">
        <f t="shared" si="43"/>
        <v>#N/A</v>
      </c>
      <c r="L79" s="22">
        <f t="shared" si="50"/>
        <v>67</v>
      </c>
      <c r="M79" s="22">
        <f t="shared" si="44"/>
        <v>1.1693705988362009</v>
      </c>
      <c r="N79" s="142" t="e">
        <f t="shared" si="45"/>
        <v>#N/A</v>
      </c>
      <c r="O79" s="144" t="e">
        <f t="shared" si="46"/>
        <v>#N/A</v>
      </c>
      <c r="P79" s="142">
        <f t="shared" si="47"/>
        <v>32.065902673041172</v>
      </c>
      <c r="Q79" s="144">
        <f t="shared" si="48"/>
        <v>1.3695132559834879</v>
      </c>
    </row>
    <row r="80" spans="1:17" x14ac:dyDescent="0.25">
      <c r="A80" s="140" t="e">
        <f t="shared" si="49"/>
        <v>#N/A</v>
      </c>
      <c r="B80" s="135" t="e">
        <f t="shared" si="34"/>
        <v>#N/A</v>
      </c>
      <c r="C80" s="136" t="e">
        <f t="shared" si="35"/>
        <v>#N/A</v>
      </c>
      <c r="D80" s="61" t="e">
        <f t="shared" si="36"/>
        <v>#N/A</v>
      </c>
      <c r="E80" s="58" t="e">
        <f t="shared" si="37"/>
        <v>#N/A</v>
      </c>
      <c r="F80" s="58" t="e">
        <f t="shared" si="38"/>
        <v>#N/A</v>
      </c>
      <c r="G80" s="102" t="e">
        <f t="shared" si="39"/>
        <v>#N/A</v>
      </c>
      <c r="H80" s="61" t="e">
        <f t="shared" si="40"/>
        <v>#N/A</v>
      </c>
      <c r="I80" s="58">
        <f t="shared" si="41"/>
        <v>1.25</v>
      </c>
      <c r="J80" s="58">
        <f t="shared" si="42"/>
        <v>2.2249595143146381E-2</v>
      </c>
      <c r="K80" s="62" t="e">
        <f t="shared" si="43"/>
        <v>#N/A</v>
      </c>
      <c r="L80" s="22">
        <f t="shared" si="50"/>
        <v>68</v>
      </c>
      <c r="M80" s="22">
        <f t="shared" si="44"/>
        <v>1.1868238913561442</v>
      </c>
      <c r="N80" s="142" t="e">
        <f t="shared" si="45"/>
        <v>#N/A</v>
      </c>
      <c r="O80" s="144" t="e">
        <f t="shared" si="46"/>
        <v>#N/A</v>
      </c>
      <c r="P80" s="142">
        <f t="shared" si="47"/>
        <v>32.609062679343147</v>
      </c>
      <c r="Q80" s="144">
        <f t="shared" si="48"/>
        <v>1.3927112565617163</v>
      </c>
    </row>
    <row r="81" spans="1:17" x14ac:dyDescent="0.25">
      <c r="A81" s="140" t="e">
        <f t="shared" si="49"/>
        <v>#N/A</v>
      </c>
      <c r="B81" s="135" t="e">
        <f t="shared" si="34"/>
        <v>#N/A</v>
      </c>
      <c r="C81" s="136" t="e">
        <f t="shared" si="35"/>
        <v>#N/A</v>
      </c>
      <c r="D81" s="61" t="e">
        <f t="shared" si="36"/>
        <v>#N/A</v>
      </c>
      <c r="E81" s="58" t="e">
        <f t="shared" si="37"/>
        <v>#N/A</v>
      </c>
      <c r="F81" s="58" t="e">
        <f t="shared" si="38"/>
        <v>#N/A</v>
      </c>
      <c r="G81" s="102" t="e">
        <f t="shared" si="39"/>
        <v>#N/A</v>
      </c>
      <c r="H81" s="61" t="e">
        <f t="shared" si="40"/>
        <v>#N/A</v>
      </c>
      <c r="I81" s="58">
        <f t="shared" si="41"/>
        <v>1.25</v>
      </c>
      <c r="J81" s="58">
        <f t="shared" si="42"/>
        <v>2.2249595143146381E-2</v>
      </c>
      <c r="K81" s="62" t="e">
        <f t="shared" si="43"/>
        <v>#N/A</v>
      </c>
      <c r="L81" s="22">
        <f t="shared" si="50"/>
        <v>69</v>
      </c>
      <c r="M81" s="22">
        <f t="shared" si="44"/>
        <v>1.2042771838760873</v>
      </c>
      <c r="N81" s="142" t="e">
        <f t="shared" si="45"/>
        <v>#N/A</v>
      </c>
      <c r="O81" s="144" t="e">
        <f t="shared" si="46"/>
        <v>#N/A</v>
      </c>
      <c r="P81" s="142">
        <f t="shared" si="47"/>
        <v>33.088935066717575</v>
      </c>
      <c r="Q81" s="144">
        <f t="shared" si="48"/>
        <v>1.413206285265282</v>
      </c>
    </row>
    <row r="82" spans="1:17" x14ac:dyDescent="0.25">
      <c r="A82" s="140" t="e">
        <f t="shared" si="49"/>
        <v>#N/A</v>
      </c>
      <c r="B82" s="135" t="e">
        <f t="shared" si="34"/>
        <v>#N/A</v>
      </c>
      <c r="C82" s="136" t="e">
        <f t="shared" si="35"/>
        <v>#N/A</v>
      </c>
      <c r="D82" s="61" t="e">
        <f t="shared" si="36"/>
        <v>#N/A</v>
      </c>
      <c r="E82" s="58" t="e">
        <f t="shared" si="37"/>
        <v>#N/A</v>
      </c>
      <c r="F82" s="58" t="e">
        <f t="shared" si="38"/>
        <v>#N/A</v>
      </c>
      <c r="G82" s="102" t="e">
        <f t="shared" si="39"/>
        <v>#N/A</v>
      </c>
      <c r="H82" s="61" t="e">
        <f t="shared" si="40"/>
        <v>#N/A</v>
      </c>
      <c r="I82" s="58">
        <f t="shared" si="41"/>
        <v>1.25</v>
      </c>
      <c r="J82" s="58">
        <f t="shared" si="42"/>
        <v>2.2249595143146381E-2</v>
      </c>
      <c r="K82" s="62" t="e">
        <f t="shared" si="43"/>
        <v>#N/A</v>
      </c>
      <c r="L82" s="22">
        <f t="shared" si="50"/>
        <v>70</v>
      </c>
      <c r="M82" s="22">
        <f t="shared" si="44"/>
        <v>1.2217304763960306</v>
      </c>
      <c r="N82" s="142" t="e">
        <f t="shared" si="45"/>
        <v>#N/A</v>
      </c>
      <c r="O82" s="144" t="e">
        <f t="shared" si="46"/>
        <v>#N/A</v>
      </c>
      <c r="P82" s="142">
        <f t="shared" si="47"/>
        <v>33.502974179158102</v>
      </c>
      <c r="Q82" s="144">
        <f t="shared" si="48"/>
        <v>1.4308896188288081</v>
      </c>
    </row>
    <row r="83" spans="1:17" x14ac:dyDescent="0.25">
      <c r="A83" s="140" t="e">
        <f t="shared" si="49"/>
        <v>#N/A</v>
      </c>
      <c r="B83" s="135" t="e">
        <f t="shared" si="34"/>
        <v>#N/A</v>
      </c>
      <c r="C83" s="136" t="e">
        <f t="shared" si="35"/>
        <v>#N/A</v>
      </c>
      <c r="D83" s="61" t="e">
        <f t="shared" si="36"/>
        <v>#N/A</v>
      </c>
      <c r="E83" s="58" t="e">
        <f t="shared" si="37"/>
        <v>#N/A</v>
      </c>
      <c r="F83" s="58" t="e">
        <f t="shared" si="38"/>
        <v>#N/A</v>
      </c>
      <c r="G83" s="102" t="e">
        <f t="shared" si="39"/>
        <v>#N/A</v>
      </c>
      <c r="H83" s="61" t="e">
        <f t="shared" si="40"/>
        <v>#N/A</v>
      </c>
      <c r="I83" s="58">
        <f t="shared" si="41"/>
        <v>1.25</v>
      </c>
      <c r="J83" s="58">
        <f t="shared" si="42"/>
        <v>2.2249595143146381E-2</v>
      </c>
      <c r="K83" s="62" t="e">
        <f t="shared" si="43"/>
        <v>#N/A</v>
      </c>
      <c r="L83" s="22">
        <f t="shared" si="50"/>
        <v>71</v>
      </c>
      <c r="M83" s="22">
        <f t="shared" si="44"/>
        <v>1.2391837689159739</v>
      </c>
      <c r="N83" s="142" t="e">
        <f t="shared" si="45"/>
        <v>#N/A</v>
      </c>
      <c r="O83" s="144" t="e">
        <f t="shared" si="46"/>
        <v>#N/A</v>
      </c>
      <c r="P83" s="142">
        <f t="shared" si="47"/>
        <v>33.848638283878159</v>
      </c>
      <c r="Q83" s="144">
        <f t="shared" si="48"/>
        <v>1.4456527015450096</v>
      </c>
    </row>
    <row r="84" spans="1:17" x14ac:dyDescent="0.25">
      <c r="A84" s="140" t="e">
        <f t="shared" si="49"/>
        <v>#N/A</v>
      </c>
      <c r="B84" s="135" t="e">
        <f t="shared" si="34"/>
        <v>#N/A</v>
      </c>
      <c r="C84" s="136" t="e">
        <f t="shared" si="35"/>
        <v>#N/A</v>
      </c>
      <c r="D84" s="61" t="e">
        <f t="shared" si="36"/>
        <v>#N/A</v>
      </c>
      <c r="E84" s="58" t="e">
        <f t="shared" si="37"/>
        <v>#N/A</v>
      </c>
      <c r="F84" s="58" t="e">
        <f t="shared" si="38"/>
        <v>#N/A</v>
      </c>
      <c r="G84" s="102" t="e">
        <f t="shared" si="39"/>
        <v>#N/A</v>
      </c>
      <c r="H84" s="61" t="e">
        <f t="shared" si="40"/>
        <v>#N/A</v>
      </c>
      <c r="I84" s="58">
        <f t="shared" si="41"/>
        <v>1.25</v>
      </c>
      <c r="J84" s="58">
        <f t="shared" si="42"/>
        <v>2.2249595143146381E-2</v>
      </c>
      <c r="K84" s="62" t="e">
        <f t="shared" si="43"/>
        <v>#N/A</v>
      </c>
      <c r="L84" s="22">
        <f t="shared" si="50"/>
        <v>72</v>
      </c>
      <c r="M84" s="22">
        <f t="shared" si="44"/>
        <v>1.2566370614359172</v>
      </c>
      <c r="N84" s="142" t="e">
        <f t="shared" si="45"/>
        <v>#N/A</v>
      </c>
      <c r="O84" s="144" t="e">
        <f t="shared" si="46"/>
        <v>#N/A</v>
      </c>
      <c r="P84" s="142">
        <f t="shared" si="47"/>
        <v>34.123391081366492</v>
      </c>
      <c r="Q84" s="144">
        <f t="shared" si="48"/>
        <v>1.4573872097581579</v>
      </c>
    </row>
    <row r="85" spans="1:17" x14ac:dyDescent="0.25">
      <c r="A85" s="140" t="e">
        <f t="shared" si="49"/>
        <v>#N/A</v>
      </c>
      <c r="B85" s="135" t="e">
        <f t="shared" si="34"/>
        <v>#N/A</v>
      </c>
      <c r="C85" s="136" t="e">
        <f t="shared" si="35"/>
        <v>#N/A</v>
      </c>
      <c r="D85" s="61" t="e">
        <f t="shared" si="36"/>
        <v>#N/A</v>
      </c>
      <c r="E85" s="58" t="e">
        <f t="shared" si="37"/>
        <v>#N/A</v>
      </c>
      <c r="F85" s="58" t="e">
        <f t="shared" si="38"/>
        <v>#N/A</v>
      </c>
      <c r="G85" s="102" t="e">
        <f t="shared" si="39"/>
        <v>#N/A</v>
      </c>
      <c r="H85" s="61" t="e">
        <f t="shared" si="40"/>
        <v>#N/A</v>
      </c>
      <c r="I85" s="58">
        <f t="shared" si="41"/>
        <v>1.25</v>
      </c>
      <c r="J85" s="58">
        <f t="shared" si="42"/>
        <v>2.2249595143146381E-2</v>
      </c>
      <c r="K85" s="62" t="e">
        <f t="shared" si="43"/>
        <v>#N/A</v>
      </c>
      <c r="L85" s="22">
        <f t="shared" si="50"/>
        <v>73</v>
      </c>
      <c r="M85" s="22">
        <f t="shared" si="44"/>
        <v>1.2740903539558606</v>
      </c>
      <c r="N85" s="142" t="e">
        <f t="shared" si="45"/>
        <v>#N/A</v>
      </c>
      <c r="O85" s="144" t="e">
        <f t="shared" si="46"/>
        <v>#N/A</v>
      </c>
      <c r="P85" s="142">
        <f t="shared" si="47"/>
        <v>34.324703218476664</v>
      </c>
      <c r="Q85" s="144">
        <f t="shared" si="48"/>
        <v>1.4659851164871189</v>
      </c>
    </row>
    <row r="86" spans="1:17" x14ac:dyDescent="0.25">
      <c r="A86" s="140" t="e">
        <f t="shared" si="49"/>
        <v>#N/A</v>
      </c>
      <c r="B86" s="135" t="e">
        <f t="shared" si="34"/>
        <v>#N/A</v>
      </c>
      <c r="C86" s="136" t="e">
        <f t="shared" si="35"/>
        <v>#N/A</v>
      </c>
      <c r="D86" s="61" t="e">
        <f t="shared" si="36"/>
        <v>#N/A</v>
      </c>
      <c r="E86" s="58" t="e">
        <f t="shared" si="37"/>
        <v>#N/A</v>
      </c>
      <c r="F86" s="58" t="e">
        <f t="shared" si="38"/>
        <v>#N/A</v>
      </c>
      <c r="G86" s="102" t="e">
        <f t="shared" si="39"/>
        <v>#N/A</v>
      </c>
      <c r="H86" s="61" t="e">
        <f t="shared" si="40"/>
        <v>#N/A</v>
      </c>
      <c r="I86" s="58">
        <f t="shared" si="41"/>
        <v>1.25</v>
      </c>
      <c r="J86" s="58">
        <f t="shared" si="42"/>
        <v>2.2249595143146381E-2</v>
      </c>
      <c r="K86" s="62" t="e">
        <f t="shared" si="43"/>
        <v>#N/A</v>
      </c>
      <c r="L86" s="22">
        <f t="shared" si="50"/>
        <v>74</v>
      </c>
      <c r="M86" s="22">
        <f t="shared" si="44"/>
        <v>1.2915436464758039</v>
      </c>
      <c r="N86" s="142" t="e">
        <f t="shared" si="45"/>
        <v>#N/A</v>
      </c>
      <c r="O86" s="144" t="e">
        <f t="shared" si="46"/>
        <v>#N/A</v>
      </c>
      <c r="P86" s="142">
        <f t="shared" si="47"/>
        <v>34.450053803864492</v>
      </c>
      <c r="Q86" s="144">
        <f t="shared" si="48"/>
        <v>1.471338756148673</v>
      </c>
    </row>
    <row r="87" spans="1:17" x14ac:dyDescent="0.25">
      <c r="A87" s="140" t="e">
        <f t="shared" si="49"/>
        <v>#N/A</v>
      </c>
      <c r="B87" s="135" t="e">
        <f t="shared" si="34"/>
        <v>#N/A</v>
      </c>
      <c r="C87" s="136" t="e">
        <f t="shared" si="35"/>
        <v>#N/A</v>
      </c>
      <c r="D87" s="61" t="e">
        <f t="shared" si="36"/>
        <v>#N/A</v>
      </c>
      <c r="E87" s="58" t="e">
        <f t="shared" si="37"/>
        <v>#N/A</v>
      </c>
      <c r="F87" s="58" t="e">
        <f t="shared" si="38"/>
        <v>#N/A</v>
      </c>
      <c r="G87" s="102" t="e">
        <f t="shared" si="39"/>
        <v>#N/A</v>
      </c>
      <c r="H87" s="61" t="e">
        <f t="shared" si="40"/>
        <v>#N/A</v>
      </c>
      <c r="I87" s="58">
        <f t="shared" si="41"/>
        <v>1.25</v>
      </c>
      <c r="J87" s="58">
        <f t="shared" si="42"/>
        <v>2.2249595143146381E-2</v>
      </c>
      <c r="K87" s="62" t="e">
        <f t="shared" si="43"/>
        <v>#N/A</v>
      </c>
      <c r="L87" s="22">
        <f t="shared" si="50"/>
        <v>75</v>
      </c>
      <c r="M87" s="22">
        <f t="shared" si="44"/>
        <v>1.3089969389957472</v>
      </c>
      <c r="N87" s="142" t="e">
        <f t="shared" si="45"/>
        <v>#N/A</v>
      </c>
      <c r="O87" s="144" t="e">
        <f t="shared" si="46"/>
        <v>#N/A</v>
      </c>
      <c r="P87" s="142">
        <f t="shared" si="47"/>
        <v>34.496931925084859</v>
      </c>
      <c r="Q87" s="144">
        <f t="shared" si="48"/>
        <v>1.4733408893517048</v>
      </c>
    </row>
    <row r="88" spans="1:17" x14ac:dyDescent="0.25">
      <c r="A88" s="140" t="e">
        <f t="shared" si="49"/>
        <v>#N/A</v>
      </c>
      <c r="B88" s="135" t="e">
        <f t="shared" si="34"/>
        <v>#N/A</v>
      </c>
      <c r="C88" s="136" t="e">
        <f t="shared" si="35"/>
        <v>#N/A</v>
      </c>
      <c r="D88" s="61" t="e">
        <f t="shared" si="36"/>
        <v>#N/A</v>
      </c>
      <c r="E88" s="58" t="e">
        <f t="shared" si="37"/>
        <v>#N/A</v>
      </c>
      <c r="F88" s="58" t="e">
        <f t="shared" si="38"/>
        <v>#N/A</v>
      </c>
      <c r="G88" s="102" t="e">
        <f t="shared" si="39"/>
        <v>#N/A</v>
      </c>
      <c r="H88" s="61" t="e">
        <f t="shared" si="40"/>
        <v>#N/A</v>
      </c>
      <c r="I88" s="58">
        <f t="shared" si="41"/>
        <v>1.25</v>
      </c>
      <c r="J88" s="58">
        <f t="shared" si="42"/>
        <v>2.2249595143146381E-2</v>
      </c>
      <c r="K88" s="62" t="e">
        <f t="shared" si="43"/>
        <v>#N/A</v>
      </c>
      <c r="L88" s="22">
        <f t="shared" si="50"/>
        <v>76</v>
      </c>
      <c r="M88" s="22">
        <f t="shared" si="44"/>
        <v>1.3264502315156905</v>
      </c>
      <c r="N88" s="142" t="e">
        <f t="shared" si="45"/>
        <v>#N/A</v>
      </c>
      <c r="O88" s="144" t="e">
        <f t="shared" si="46"/>
        <v>#N/A</v>
      </c>
      <c r="P88" s="142">
        <f t="shared" si="47"/>
        <v>34.462838166657299</v>
      </c>
      <c r="Q88" s="144">
        <f t="shared" si="48"/>
        <v>1.4718847677327711</v>
      </c>
    </row>
    <row r="89" spans="1:17" x14ac:dyDescent="0.25">
      <c r="A89" s="140" t="e">
        <f t="shared" si="49"/>
        <v>#N/A</v>
      </c>
      <c r="B89" s="135" t="e">
        <f t="shared" si="34"/>
        <v>#N/A</v>
      </c>
      <c r="C89" s="136" t="e">
        <f t="shared" si="35"/>
        <v>#N/A</v>
      </c>
      <c r="D89" s="61" t="e">
        <f t="shared" si="36"/>
        <v>#N/A</v>
      </c>
      <c r="E89" s="58" t="e">
        <f t="shared" si="37"/>
        <v>#N/A</v>
      </c>
      <c r="F89" s="58" t="e">
        <f t="shared" si="38"/>
        <v>#N/A</v>
      </c>
      <c r="G89" s="102" t="e">
        <f t="shared" si="39"/>
        <v>#N/A</v>
      </c>
      <c r="H89" s="61" t="e">
        <f t="shared" si="40"/>
        <v>#N/A</v>
      </c>
      <c r="I89" s="58">
        <f t="shared" si="41"/>
        <v>1.25</v>
      </c>
      <c r="J89" s="58">
        <f t="shared" si="42"/>
        <v>2.2249595143146381E-2</v>
      </c>
      <c r="K89" s="62" t="e">
        <f t="shared" si="43"/>
        <v>#N/A</v>
      </c>
      <c r="L89" s="22">
        <f t="shared" si="50"/>
        <v>77</v>
      </c>
      <c r="M89" s="22">
        <f t="shared" si="44"/>
        <v>1.3439035240356338</v>
      </c>
      <c r="N89" s="142" t="e">
        <f t="shared" si="45"/>
        <v>#N/A</v>
      </c>
      <c r="O89" s="144" t="e">
        <f t="shared" si="46"/>
        <v>#N/A</v>
      </c>
      <c r="P89" s="142">
        <f t="shared" si="47"/>
        <v>34.345286128408382</v>
      </c>
      <c r="Q89" s="144">
        <f t="shared" si="48"/>
        <v>1.4668641988034856</v>
      </c>
    </row>
    <row r="90" spans="1:17" x14ac:dyDescent="0.25">
      <c r="A90" s="140" t="e">
        <f t="shared" si="49"/>
        <v>#N/A</v>
      </c>
      <c r="B90" s="135" t="e">
        <f t="shared" si="34"/>
        <v>#N/A</v>
      </c>
      <c r="C90" s="136" t="e">
        <f t="shared" si="35"/>
        <v>#N/A</v>
      </c>
      <c r="D90" s="61" t="e">
        <f t="shared" si="36"/>
        <v>#N/A</v>
      </c>
      <c r="E90" s="58" t="e">
        <f t="shared" si="37"/>
        <v>#N/A</v>
      </c>
      <c r="F90" s="58" t="e">
        <f t="shared" si="38"/>
        <v>#N/A</v>
      </c>
      <c r="G90" s="102" t="e">
        <f t="shared" si="39"/>
        <v>#N/A</v>
      </c>
      <c r="H90" s="61" t="e">
        <f t="shared" si="40"/>
        <v>#N/A</v>
      </c>
      <c r="I90" s="58">
        <f t="shared" si="41"/>
        <v>1.25</v>
      </c>
      <c r="J90" s="58">
        <f t="shared" si="42"/>
        <v>2.2249595143146381E-2</v>
      </c>
      <c r="K90" s="62" t="e">
        <f t="shared" si="43"/>
        <v>#N/A</v>
      </c>
      <c r="L90" s="22">
        <f t="shared" si="50"/>
        <v>78</v>
      </c>
      <c r="M90" s="22">
        <f t="shared" si="44"/>
        <v>1.3613568165555769</v>
      </c>
      <c r="N90" s="142" t="e">
        <f t="shared" si="45"/>
        <v>#N/A</v>
      </c>
      <c r="O90" s="144" t="e">
        <f t="shared" si="46"/>
        <v>#N/A</v>
      </c>
      <c r="P90" s="142">
        <f t="shared" si="47"/>
        <v>34.141803943398706</v>
      </c>
      <c r="Q90" s="144">
        <f t="shared" si="48"/>
        <v>1.4581736107801668</v>
      </c>
    </row>
    <row r="91" spans="1:17" x14ac:dyDescent="0.25">
      <c r="A91" s="140" t="e">
        <f t="shared" si="49"/>
        <v>#N/A</v>
      </c>
      <c r="B91" s="135" t="e">
        <f t="shared" si="34"/>
        <v>#N/A</v>
      </c>
      <c r="C91" s="136" t="e">
        <f t="shared" si="35"/>
        <v>#N/A</v>
      </c>
      <c r="D91" s="61" t="e">
        <f t="shared" si="36"/>
        <v>#N/A</v>
      </c>
      <c r="E91" s="58" t="e">
        <f t="shared" si="37"/>
        <v>#N/A</v>
      </c>
      <c r="F91" s="58" t="e">
        <f t="shared" si="38"/>
        <v>#N/A</v>
      </c>
      <c r="G91" s="102" t="e">
        <f t="shared" si="39"/>
        <v>#N/A</v>
      </c>
      <c r="H91" s="61" t="e">
        <f t="shared" si="40"/>
        <v>#N/A</v>
      </c>
      <c r="I91" s="58">
        <f t="shared" si="41"/>
        <v>1.25</v>
      </c>
      <c r="J91" s="58">
        <f t="shared" si="42"/>
        <v>2.2249595143146381E-2</v>
      </c>
      <c r="K91" s="62" t="e">
        <f t="shared" si="43"/>
        <v>#N/A</v>
      </c>
      <c r="L91" s="22">
        <f t="shared" si="50"/>
        <v>79</v>
      </c>
      <c r="M91" s="22">
        <f t="shared" si="44"/>
        <v>1.3788101090755203</v>
      </c>
      <c r="N91" s="142" t="e">
        <f t="shared" si="45"/>
        <v>#N/A</v>
      </c>
      <c r="O91" s="144" t="e">
        <f t="shared" si="46"/>
        <v>#N/A</v>
      </c>
      <c r="P91" s="142">
        <f t="shared" si="47"/>
        <v>33.849935794739309</v>
      </c>
      <c r="Q91" s="144">
        <f t="shared" si="48"/>
        <v>1.4457081173660531</v>
      </c>
    </row>
    <row r="92" spans="1:17" x14ac:dyDescent="0.25">
      <c r="A92" s="140" t="e">
        <f t="shared" si="49"/>
        <v>#N/A</v>
      </c>
      <c r="B92" s="135" t="e">
        <f t="shared" si="34"/>
        <v>#N/A</v>
      </c>
      <c r="C92" s="136" t="e">
        <f t="shared" si="35"/>
        <v>#N/A</v>
      </c>
      <c r="D92" s="61" t="e">
        <f t="shared" si="36"/>
        <v>#N/A</v>
      </c>
      <c r="E92" s="58" t="e">
        <f t="shared" si="37"/>
        <v>#N/A</v>
      </c>
      <c r="F92" s="58" t="e">
        <f t="shared" si="38"/>
        <v>#N/A</v>
      </c>
      <c r="G92" s="102" t="e">
        <f t="shared" si="39"/>
        <v>#N/A</v>
      </c>
      <c r="H92" s="61" t="e">
        <f t="shared" si="40"/>
        <v>#N/A</v>
      </c>
      <c r="I92" s="58">
        <f t="shared" si="41"/>
        <v>1.25</v>
      </c>
      <c r="J92" s="58">
        <f t="shared" si="42"/>
        <v>2.2249595143146381E-2</v>
      </c>
      <c r="K92" s="62" t="e">
        <f t="shared" si="43"/>
        <v>#N/A</v>
      </c>
      <c r="L92" s="22">
        <f t="shared" si="50"/>
        <v>80</v>
      </c>
      <c r="M92" s="22">
        <f t="shared" si="44"/>
        <v>1.3962634015954636</v>
      </c>
      <c r="N92" s="142" t="e">
        <f t="shared" si="45"/>
        <v>#N/A</v>
      </c>
      <c r="O92" s="144" t="e">
        <f t="shared" si="46"/>
        <v>#N/A</v>
      </c>
      <c r="P92" s="142">
        <f t="shared" si="47"/>
        <v>33.467243430603133</v>
      </c>
      <c r="Q92" s="144">
        <f t="shared" si="48"/>
        <v>1.4293635824564284</v>
      </c>
    </row>
    <row r="93" spans="1:17" x14ac:dyDescent="0.25">
      <c r="A93" s="140" t="e">
        <f t="shared" si="49"/>
        <v>#N/A</v>
      </c>
      <c r="B93" s="135" t="e">
        <f t="shared" si="34"/>
        <v>#N/A</v>
      </c>
      <c r="C93" s="136" t="e">
        <f t="shared" si="35"/>
        <v>#N/A</v>
      </c>
      <c r="D93" s="61" t="e">
        <f t="shared" si="36"/>
        <v>#N/A</v>
      </c>
      <c r="E93" s="58" t="e">
        <f t="shared" si="37"/>
        <v>#N/A</v>
      </c>
      <c r="F93" s="58" t="e">
        <f t="shared" si="38"/>
        <v>#N/A</v>
      </c>
      <c r="G93" s="102" t="e">
        <f t="shared" si="39"/>
        <v>#N/A</v>
      </c>
      <c r="H93" s="61" t="e">
        <f t="shared" si="40"/>
        <v>#N/A</v>
      </c>
      <c r="I93" s="58">
        <f t="shared" si="41"/>
        <v>1.25</v>
      </c>
      <c r="J93" s="58">
        <f t="shared" si="42"/>
        <v>2.2249595143146381E-2</v>
      </c>
      <c r="K93" s="62" t="e">
        <f t="shared" si="43"/>
        <v>#N/A</v>
      </c>
      <c r="L93" s="22">
        <f t="shared" si="50"/>
        <v>81</v>
      </c>
      <c r="M93" s="22">
        <f t="shared" si="44"/>
        <v>1.4137166941154069</v>
      </c>
      <c r="N93" s="142" t="e">
        <f t="shared" si="45"/>
        <v>#N/A</v>
      </c>
      <c r="O93" s="144" t="e">
        <f t="shared" si="46"/>
        <v>#N/A</v>
      </c>
      <c r="P93" s="142">
        <f t="shared" si="47"/>
        <v>32.991307676737421</v>
      </c>
      <c r="Q93" s="144">
        <f t="shared" si="48"/>
        <v>1.4090366847370146</v>
      </c>
    </row>
    <row r="94" spans="1:17" x14ac:dyDescent="0.25">
      <c r="A94" s="140" t="e">
        <f t="shared" si="49"/>
        <v>#N/A</v>
      </c>
      <c r="B94" s="135" t="e">
        <f t="shared" si="34"/>
        <v>#N/A</v>
      </c>
      <c r="C94" s="136" t="e">
        <f t="shared" si="35"/>
        <v>#N/A</v>
      </c>
      <c r="D94" s="61" t="e">
        <f t="shared" si="36"/>
        <v>#N/A</v>
      </c>
      <c r="E94" s="58" t="e">
        <f t="shared" si="37"/>
        <v>#N/A</v>
      </c>
      <c r="F94" s="58" t="e">
        <f t="shared" si="38"/>
        <v>#N/A</v>
      </c>
      <c r="G94" s="102" t="e">
        <f t="shared" si="39"/>
        <v>#N/A</v>
      </c>
      <c r="H94" s="61" t="e">
        <f t="shared" si="40"/>
        <v>#N/A</v>
      </c>
      <c r="I94" s="58">
        <f t="shared" si="41"/>
        <v>1.25</v>
      </c>
      <c r="J94" s="58">
        <f t="shared" si="42"/>
        <v>2.2249595143146381E-2</v>
      </c>
      <c r="K94" s="62" t="e">
        <f t="shared" si="43"/>
        <v>#N/A</v>
      </c>
      <c r="L94" s="22">
        <f t="shared" si="50"/>
        <v>82</v>
      </c>
      <c r="M94" s="22">
        <f t="shared" si="44"/>
        <v>1.4311699866353502</v>
      </c>
      <c r="N94" s="142" t="e">
        <f t="shared" si="45"/>
        <v>#N/A</v>
      </c>
      <c r="O94" s="144" t="e">
        <f t="shared" si="46"/>
        <v>#N/A</v>
      </c>
      <c r="P94" s="142">
        <f t="shared" si="47"/>
        <v>32.419729945779828</v>
      </c>
      <c r="Q94" s="144">
        <f t="shared" si="48"/>
        <v>1.3846249821458538</v>
      </c>
    </row>
    <row r="95" spans="1:17" x14ac:dyDescent="0.25">
      <c r="A95" s="140" t="e">
        <f t="shared" si="49"/>
        <v>#N/A</v>
      </c>
      <c r="B95" s="135" t="e">
        <f t="shared" si="34"/>
        <v>#N/A</v>
      </c>
      <c r="C95" s="136" t="e">
        <f t="shared" si="35"/>
        <v>#N/A</v>
      </c>
      <c r="D95" s="61" t="e">
        <f t="shared" si="36"/>
        <v>#N/A</v>
      </c>
      <c r="E95" s="58" t="e">
        <f t="shared" si="37"/>
        <v>#N/A</v>
      </c>
      <c r="F95" s="58" t="e">
        <f t="shared" si="38"/>
        <v>#N/A</v>
      </c>
      <c r="G95" s="102" t="e">
        <f t="shared" si="39"/>
        <v>#N/A</v>
      </c>
      <c r="H95" s="61" t="e">
        <f t="shared" si="40"/>
        <v>#N/A</v>
      </c>
      <c r="I95" s="58">
        <f t="shared" si="41"/>
        <v>1.25</v>
      </c>
      <c r="J95" s="58">
        <f t="shared" si="42"/>
        <v>2.2249595143146381E-2</v>
      </c>
      <c r="K95" s="62" t="e">
        <f t="shared" si="43"/>
        <v>#N/A</v>
      </c>
      <c r="L95" s="22">
        <f t="shared" si="50"/>
        <v>83</v>
      </c>
      <c r="M95" s="22">
        <f t="shared" si="44"/>
        <v>1.4486232791552935</v>
      </c>
      <c r="N95" s="142" t="e">
        <f t="shared" si="45"/>
        <v>#N/A</v>
      </c>
      <c r="O95" s="144" t="e">
        <f t="shared" si="46"/>
        <v>#N/A</v>
      </c>
      <c r="P95" s="142">
        <f t="shared" si="47"/>
        <v>31.750133742685431</v>
      </c>
      <c r="Q95" s="144">
        <f t="shared" si="48"/>
        <v>1.3560269761690888</v>
      </c>
    </row>
    <row r="96" spans="1:17" x14ac:dyDescent="0.25">
      <c r="A96" s="140" t="e">
        <f t="shared" si="49"/>
        <v>#N/A</v>
      </c>
      <c r="B96" s="135" t="e">
        <f t="shared" si="34"/>
        <v>#N/A</v>
      </c>
      <c r="C96" s="136" t="e">
        <f t="shared" si="35"/>
        <v>#N/A</v>
      </c>
      <c r="D96" s="61" t="e">
        <f t="shared" si="36"/>
        <v>#N/A</v>
      </c>
      <c r="E96" s="58" t="e">
        <f t="shared" si="37"/>
        <v>#N/A</v>
      </c>
      <c r="F96" s="58" t="e">
        <f t="shared" si="38"/>
        <v>#N/A</v>
      </c>
      <c r="G96" s="102" t="e">
        <f t="shared" si="39"/>
        <v>#N/A</v>
      </c>
      <c r="H96" s="61" t="e">
        <f t="shared" si="40"/>
        <v>#N/A</v>
      </c>
      <c r="I96" s="58">
        <f t="shared" si="41"/>
        <v>1.25</v>
      </c>
      <c r="J96" s="58">
        <f t="shared" si="42"/>
        <v>2.2249595143146381E-2</v>
      </c>
      <c r="K96" s="62" t="e">
        <f t="shared" si="43"/>
        <v>#N/A</v>
      </c>
      <c r="L96" s="22">
        <f t="shared" si="50"/>
        <v>84</v>
      </c>
      <c r="M96" s="22">
        <f t="shared" si="44"/>
        <v>1.4660765716752369</v>
      </c>
      <c r="N96" s="142" t="e">
        <f t="shared" si="45"/>
        <v>#N/A</v>
      </c>
      <c r="O96" s="144" t="e">
        <f t="shared" si="46"/>
        <v>#N/A</v>
      </c>
      <c r="P96" s="142">
        <f t="shared" si="47"/>
        <v>30.980166165568413</v>
      </c>
      <c r="Q96" s="144">
        <f t="shared" si="48"/>
        <v>1.3231421759409081</v>
      </c>
    </row>
    <row r="97" spans="1:17" x14ac:dyDescent="0.25">
      <c r="A97" s="140" t="e">
        <f t="shared" si="49"/>
        <v>#N/A</v>
      </c>
      <c r="B97" s="135" t="e">
        <f t="shared" si="34"/>
        <v>#N/A</v>
      </c>
      <c r="C97" s="136" t="e">
        <f t="shared" si="35"/>
        <v>#N/A</v>
      </c>
      <c r="D97" s="61" t="e">
        <f t="shared" si="36"/>
        <v>#N/A</v>
      </c>
      <c r="E97" s="58" t="e">
        <f t="shared" si="37"/>
        <v>#N/A</v>
      </c>
      <c r="F97" s="58" t="e">
        <f t="shared" si="38"/>
        <v>#N/A</v>
      </c>
      <c r="G97" s="102" t="e">
        <f t="shared" si="39"/>
        <v>#N/A</v>
      </c>
      <c r="H97" s="61" t="e">
        <f t="shared" si="40"/>
        <v>#N/A</v>
      </c>
      <c r="I97" s="58">
        <f t="shared" si="41"/>
        <v>1.25</v>
      </c>
      <c r="J97" s="58">
        <f t="shared" si="42"/>
        <v>2.2249595143146381E-2</v>
      </c>
      <c r="K97" s="62" t="e">
        <f t="shared" si="43"/>
        <v>#N/A</v>
      </c>
      <c r="L97" s="22">
        <f t="shared" si="50"/>
        <v>85</v>
      </c>
      <c r="M97" s="22">
        <f t="shared" si="44"/>
        <v>1.4835298641951802</v>
      </c>
      <c r="N97" s="142" t="e">
        <f t="shared" si="45"/>
        <v>#N/A</v>
      </c>
      <c r="O97" s="144" t="e">
        <f t="shared" si="46"/>
        <v>#N/A</v>
      </c>
      <c r="P97" s="142">
        <f t="shared" si="47"/>
        <v>30.107499401265432</v>
      </c>
      <c r="Q97" s="144">
        <f t="shared" si="48"/>
        <v>1.2858711621180561</v>
      </c>
    </row>
    <row r="98" spans="1:17" x14ac:dyDescent="0.25">
      <c r="A98" s="140" t="e">
        <f t="shared" si="49"/>
        <v>#N/A</v>
      </c>
      <c r="B98" s="135" t="e">
        <f t="shared" si="34"/>
        <v>#N/A</v>
      </c>
      <c r="C98" s="136" t="e">
        <f t="shared" si="35"/>
        <v>#N/A</v>
      </c>
      <c r="D98" s="61" t="e">
        <f t="shared" si="36"/>
        <v>#N/A</v>
      </c>
      <c r="E98" s="58" t="e">
        <f t="shared" si="37"/>
        <v>#N/A</v>
      </c>
      <c r="F98" s="58" t="e">
        <f t="shared" si="38"/>
        <v>#N/A</v>
      </c>
      <c r="G98" s="102" t="e">
        <f t="shared" si="39"/>
        <v>#N/A</v>
      </c>
      <c r="H98" s="61" t="e">
        <f t="shared" si="40"/>
        <v>#N/A</v>
      </c>
      <c r="I98" s="58">
        <f t="shared" si="41"/>
        <v>1.25</v>
      </c>
      <c r="J98" s="58">
        <f t="shared" si="42"/>
        <v>2.2249595143146381E-2</v>
      </c>
      <c r="K98" s="62" t="e">
        <f t="shared" si="43"/>
        <v>#N/A</v>
      </c>
      <c r="L98" s="22">
        <f t="shared" si="50"/>
        <v>86</v>
      </c>
      <c r="M98" s="22">
        <f t="shared" si="44"/>
        <v>1.5009831567151235</v>
      </c>
      <c r="N98" s="142" t="e">
        <f t="shared" si="45"/>
        <v>#N/A</v>
      </c>
      <c r="O98" s="144" t="e">
        <f t="shared" si="46"/>
        <v>#N/A</v>
      </c>
      <c r="P98" s="142">
        <f t="shared" si="47"/>
        <v>29.129832214927287</v>
      </c>
      <c r="Q98" s="144">
        <f t="shared" si="48"/>
        <v>1.244115650499297</v>
      </c>
    </row>
    <row r="99" spans="1:17" x14ac:dyDescent="0.25">
      <c r="A99" s="140" t="e">
        <f t="shared" si="49"/>
        <v>#N/A</v>
      </c>
      <c r="B99" s="135" t="e">
        <f t="shared" si="34"/>
        <v>#N/A</v>
      </c>
      <c r="C99" s="136" t="e">
        <f t="shared" si="35"/>
        <v>#N/A</v>
      </c>
      <c r="D99" s="61" t="e">
        <f t="shared" si="36"/>
        <v>#N/A</v>
      </c>
      <c r="E99" s="58" t="e">
        <f t="shared" si="37"/>
        <v>#N/A</v>
      </c>
      <c r="F99" s="58" t="e">
        <f t="shared" si="38"/>
        <v>#N/A</v>
      </c>
      <c r="G99" s="102" t="e">
        <f t="shared" si="39"/>
        <v>#N/A</v>
      </c>
      <c r="H99" s="61" t="e">
        <f t="shared" si="40"/>
        <v>#N/A</v>
      </c>
      <c r="I99" s="58">
        <f t="shared" si="41"/>
        <v>1.25</v>
      </c>
      <c r="J99" s="58">
        <f t="shared" si="42"/>
        <v>2.2249595143146381E-2</v>
      </c>
      <c r="K99" s="62" t="e">
        <f t="shared" si="43"/>
        <v>#N/A</v>
      </c>
      <c r="L99" s="22">
        <f t="shared" si="50"/>
        <v>87</v>
      </c>
      <c r="M99" s="22">
        <f t="shared" si="44"/>
        <v>1.5184364492350666</v>
      </c>
      <c r="N99" s="142" t="e">
        <f t="shared" si="45"/>
        <v>#N/A</v>
      </c>
      <c r="O99" s="144" t="e">
        <f t="shared" si="46"/>
        <v>#N/A</v>
      </c>
      <c r="P99" s="142">
        <f t="shared" si="47"/>
        <v>28.044891432948386</v>
      </c>
      <c r="Q99" s="144">
        <f t="shared" si="48"/>
        <v>1.1977785553603415</v>
      </c>
    </row>
    <row r="100" spans="1:17" x14ac:dyDescent="0.25">
      <c r="A100" s="140" t="e">
        <f t="shared" si="49"/>
        <v>#N/A</v>
      </c>
      <c r="B100" s="135" t="e">
        <f t="shared" si="34"/>
        <v>#N/A</v>
      </c>
      <c r="C100" s="136" t="e">
        <f t="shared" si="35"/>
        <v>#N/A</v>
      </c>
      <c r="D100" s="61" t="e">
        <f t="shared" si="36"/>
        <v>#N/A</v>
      </c>
      <c r="E100" s="58" t="e">
        <f t="shared" si="37"/>
        <v>#N/A</v>
      </c>
      <c r="F100" s="58" t="e">
        <f t="shared" si="38"/>
        <v>#N/A</v>
      </c>
      <c r="G100" s="102" t="e">
        <f t="shared" si="39"/>
        <v>#N/A</v>
      </c>
      <c r="H100" s="61" t="e">
        <f t="shared" si="40"/>
        <v>#N/A</v>
      </c>
      <c r="I100" s="58">
        <f t="shared" si="41"/>
        <v>1.25</v>
      </c>
      <c r="J100" s="58">
        <f t="shared" si="42"/>
        <v>2.2249595143146381E-2</v>
      </c>
      <c r="K100" s="62" t="e">
        <f t="shared" si="43"/>
        <v>#N/A</v>
      </c>
      <c r="L100" s="22">
        <f t="shared" si="50"/>
        <v>88</v>
      </c>
      <c r="M100" s="22">
        <f t="shared" si="44"/>
        <v>1.5358897417550099</v>
      </c>
      <c r="N100" s="142" t="e">
        <f t="shared" si="45"/>
        <v>#N/A</v>
      </c>
      <c r="O100" s="144" t="e">
        <f t="shared" si="46"/>
        <v>#N/A</v>
      </c>
      <c r="P100" s="142">
        <f t="shared" si="47"/>
        <v>26.850433418542355</v>
      </c>
      <c r="Q100" s="144">
        <f t="shared" si="48"/>
        <v>1.1467640524746932</v>
      </c>
    </row>
    <row r="101" spans="1:17" x14ac:dyDescent="0.25">
      <c r="A101" s="140" t="e">
        <f t="shared" si="49"/>
        <v>#N/A</v>
      </c>
      <c r="B101" s="135" t="e">
        <f t="shared" si="34"/>
        <v>#N/A</v>
      </c>
      <c r="C101" s="136" t="e">
        <f t="shared" si="35"/>
        <v>#N/A</v>
      </c>
      <c r="D101" s="61" t="e">
        <f t="shared" si="36"/>
        <v>#N/A</v>
      </c>
      <c r="E101" s="58" t="e">
        <f t="shared" si="37"/>
        <v>#N/A</v>
      </c>
      <c r="F101" s="58" t="e">
        <f t="shared" si="38"/>
        <v>#N/A</v>
      </c>
      <c r="G101" s="102" t="e">
        <f t="shared" si="39"/>
        <v>#N/A</v>
      </c>
      <c r="H101" s="61" t="e">
        <f t="shared" si="40"/>
        <v>#N/A</v>
      </c>
      <c r="I101" s="58">
        <f t="shared" si="41"/>
        <v>1.25</v>
      </c>
      <c r="J101" s="58">
        <f t="shared" si="42"/>
        <v>2.2249595143146381E-2</v>
      </c>
      <c r="K101" s="62" t="e">
        <f t="shared" si="43"/>
        <v>#N/A</v>
      </c>
      <c r="L101" s="22">
        <f t="shared" si="50"/>
        <v>89</v>
      </c>
      <c r="M101" s="22">
        <f t="shared" si="44"/>
        <v>1.5533430342749532</v>
      </c>
      <c r="N101" s="142" t="e">
        <f t="shared" si="45"/>
        <v>#N/A</v>
      </c>
      <c r="O101" s="144" t="e">
        <f t="shared" si="46"/>
        <v>#N/A</v>
      </c>
      <c r="P101" s="142">
        <f t="shared" si="47"/>
        <v>25.544245539278315</v>
      </c>
      <c r="Q101" s="144">
        <f t="shared" si="48"/>
        <v>1.0909776417911419</v>
      </c>
    </row>
    <row r="102" spans="1:17" x14ac:dyDescent="0.25">
      <c r="A102" s="140" t="e">
        <f t="shared" si="49"/>
        <v>#N/A</v>
      </c>
      <c r="B102" s="135" t="e">
        <f t="shared" si="34"/>
        <v>#N/A</v>
      </c>
      <c r="C102" s="136" t="e">
        <f t="shared" si="35"/>
        <v>#N/A</v>
      </c>
      <c r="D102" s="61" t="e">
        <f t="shared" si="36"/>
        <v>#N/A</v>
      </c>
      <c r="E102" s="58" t="e">
        <f t="shared" si="37"/>
        <v>#N/A</v>
      </c>
      <c r="F102" s="58" t="e">
        <f t="shared" si="38"/>
        <v>#N/A</v>
      </c>
      <c r="G102" s="102" t="e">
        <f t="shared" si="39"/>
        <v>#N/A</v>
      </c>
      <c r="H102" s="61" t="e">
        <f t="shared" si="40"/>
        <v>#N/A</v>
      </c>
      <c r="I102" s="58">
        <f t="shared" si="41"/>
        <v>1.25</v>
      </c>
      <c r="J102" s="58">
        <f t="shared" si="42"/>
        <v>2.2249595143146381E-2</v>
      </c>
      <c r="K102" s="62" t="e">
        <f t="shared" si="43"/>
        <v>#N/A</v>
      </c>
      <c r="L102" s="22">
        <f t="shared" si="50"/>
        <v>90</v>
      </c>
      <c r="M102" s="22">
        <f t="shared" si="44"/>
        <v>1.5707963267948966</v>
      </c>
      <c r="N102" s="142" t="e">
        <f t="shared" si="45"/>
        <v>#N/A</v>
      </c>
      <c r="O102" s="144" t="e">
        <f t="shared" si="46"/>
        <v>#N/A</v>
      </c>
      <c r="P102" s="142">
        <f t="shared" si="47"/>
        <v>24.12414762588897</v>
      </c>
      <c r="Q102" s="144">
        <f t="shared" si="48"/>
        <v>1.0303262097384809</v>
      </c>
    </row>
    <row r="103" spans="1:17" x14ac:dyDescent="0.25">
      <c r="A103" s="140" t="e">
        <f t="shared" si="49"/>
        <v>#N/A</v>
      </c>
      <c r="B103" s="135" t="e">
        <f t="shared" si="34"/>
        <v>#N/A</v>
      </c>
      <c r="C103" s="136" t="e">
        <f t="shared" si="35"/>
        <v>#N/A</v>
      </c>
      <c r="D103" s="61" t="e">
        <f t="shared" si="36"/>
        <v>#N/A</v>
      </c>
      <c r="E103" s="58" t="e">
        <f t="shared" si="37"/>
        <v>#N/A</v>
      </c>
      <c r="F103" s="58" t="e">
        <f t="shared" si="38"/>
        <v>#N/A</v>
      </c>
      <c r="G103" s="102" t="e">
        <f t="shared" si="39"/>
        <v>#N/A</v>
      </c>
      <c r="H103" s="61" t="e">
        <f t="shared" si="40"/>
        <v>#N/A</v>
      </c>
      <c r="I103" s="58">
        <f t="shared" si="41"/>
        <v>1.25</v>
      </c>
      <c r="J103" s="58">
        <f t="shared" si="42"/>
        <v>2.2249595143146381E-2</v>
      </c>
      <c r="K103" s="62" t="e">
        <f t="shared" si="43"/>
        <v>#N/A</v>
      </c>
      <c r="L103" s="22">
        <f t="shared" si="50"/>
        <v>91</v>
      </c>
      <c r="M103" s="22">
        <f t="shared" si="44"/>
        <v>1.5882496193148399</v>
      </c>
      <c r="N103" s="142" t="e">
        <f t="shared" si="45"/>
        <v>#N/A</v>
      </c>
      <c r="O103" s="144" t="e">
        <f t="shared" si="46"/>
        <v>#N/A</v>
      </c>
      <c r="P103" s="142">
        <f t="shared" si="47"/>
        <v>22.587993421669722</v>
      </c>
      <c r="Q103" s="144">
        <f t="shared" si="48"/>
        <v>0.96471809112837403</v>
      </c>
    </row>
    <row r="104" spans="1:17" x14ac:dyDescent="0.25">
      <c r="A104" s="140" t="e">
        <f t="shared" si="49"/>
        <v>#N/A</v>
      </c>
      <c r="B104" s="135" t="e">
        <f t="shared" si="34"/>
        <v>#N/A</v>
      </c>
      <c r="C104" s="136" t="e">
        <f t="shared" si="35"/>
        <v>#N/A</v>
      </c>
      <c r="D104" s="61" t="e">
        <f t="shared" si="36"/>
        <v>#N/A</v>
      </c>
      <c r="E104" s="58" t="e">
        <f t="shared" si="37"/>
        <v>#N/A</v>
      </c>
      <c r="F104" s="58" t="e">
        <f t="shared" si="38"/>
        <v>#N/A</v>
      </c>
      <c r="G104" s="102" t="e">
        <f t="shared" si="39"/>
        <v>#N/A</v>
      </c>
      <c r="H104" s="61" t="e">
        <f t="shared" si="40"/>
        <v>#N/A</v>
      </c>
      <c r="I104" s="58">
        <f t="shared" si="41"/>
        <v>1.25</v>
      </c>
      <c r="J104" s="58">
        <f t="shared" si="42"/>
        <v>2.2249595143146381E-2</v>
      </c>
      <c r="K104" s="62" t="e">
        <f t="shared" si="43"/>
        <v>#N/A</v>
      </c>
      <c r="L104" s="22">
        <f t="shared" si="50"/>
        <v>92</v>
      </c>
      <c r="M104" s="22">
        <f t="shared" si="44"/>
        <v>1.6057029118347832</v>
      </c>
      <c r="N104" s="142" t="e">
        <f t="shared" si="45"/>
        <v>#N/A</v>
      </c>
      <c r="O104" s="144" t="e">
        <f t="shared" si="46"/>
        <v>#N/A</v>
      </c>
      <c r="P104" s="142">
        <f t="shared" si="47"/>
        <v>20.933672021786482</v>
      </c>
      <c r="Q104" s="144">
        <f t="shared" si="48"/>
        <v>0.89406313062722986</v>
      </c>
    </row>
    <row r="105" spans="1:17" x14ac:dyDescent="0.25">
      <c r="A105" s="140" t="e">
        <f t="shared" si="49"/>
        <v>#N/A</v>
      </c>
      <c r="B105" s="135" t="e">
        <f t="shared" si="34"/>
        <v>#N/A</v>
      </c>
      <c r="C105" s="136" t="e">
        <f t="shared" si="35"/>
        <v>#N/A</v>
      </c>
      <c r="D105" s="61" t="e">
        <f t="shared" si="36"/>
        <v>#N/A</v>
      </c>
      <c r="E105" s="58" t="e">
        <f t="shared" si="37"/>
        <v>#N/A</v>
      </c>
      <c r="F105" s="58" t="e">
        <f t="shared" si="38"/>
        <v>#N/A</v>
      </c>
      <c r="G105" s="102" t="e">
        <f t="shared" si="39"/>
        <v>#N/A</v>
      </c>
      <c r="H105" s="61" t="e">
        <f t="shared" si="40"/>
        <v>#N/A</v>
      </c>
      <c r="I105" s="58">
        <f t="shared" si="41"/>
        <v>1.25</v>
      </c>
      <c r="J105" s="58">
        <f t="shared" si="42"/>
        <v>2.2249595143146381E-2</v>
      </c>
      <c r="K105" s="62" t="e">
        <f t="shared" si="43"/>
        <v>#N/A</v>
      </c>
      <c r="L105" s="22">
        <f t="shared" si="50"/>
        <v>93</v>
      </c>
      <c r="M105" s="22">
        <f t="shared" si="44"/>
        <v>1.6231562043547265</v>
      </c>
      <c r="N105" s="142" t="e">
        <f t="shared" si="45"/>
        <v>#N/A</v>
      </c>
      <c r="O105" s="144" t="e">
        <f t="shared" si="46"/>
        <v>#N/A</v>
      </c>
      <c r="P105" s="142">
        <f t="shared" si="47"/>
        <v>19.159109301814766</v>
      </c>
      <c r="Q105" s="144">
        <f t="shared" si="48"/>
        <v>0.8182727437681504</v>
      </c>
    </row>
    <row r="106" spans="1:17" x14ac:dyDescent="0.25">
      <c r="A106" s="140" t="e">
        <f t="shared" si="49"/>
        <v>#N/A</v>
      </c>
      <c r="B106" s="135" t="e">
        <f t="shared" si="34"/>
        <v>#N/A</v>
      </c>
      <c r="C106" s="136" t="e">
        <f t="shared" si="35"/>
        <v>#N/A</v>
      </c>
      <c r="D106" s="61" t="e">
        <f t="shared" si="36"/>
        <v>#N/A</v>
      </c>
      <c r="E106" s="58" t="e">
        <f t="shared" si="37"/>
        <v>#N/A</v>
      </c>
      <c r="F106" s="58" t="e">
        <f t="shared" si="38"/>
        <v>#N/A</v>
      </c>
      <c r="G106" s="102" t="e">
        <f t="shared" si="39"/>
        <v>#N/A</v>
      </c>
      <c r="H106" s="61" t="e">
        <f t="shared" si="40"/>
        <v>#N/A</v>
      </c>
      <c r="I106" s="58">
        <f t="shared" si="41"/>
        <v>1.25</v>
      </c>
      <c r="J106" s="58">
        <f t="shared" si="42"/>
        <v>2.2249595143146381E-2</v>
      </c>
      <c r="K106" s="62" t="e">
        <f t="shared" si="43"/>
        <v>#N/A</v>
      </c>
      <c r="L106" s="22">
        <f t="shared" si="50"/>
        <v>94</v>
      </c>
      <c r="M106" s="22">
        <f t="shared" si="44"/>
        <v>1.6406094968746698</v>
      </c>
      <c r="N106" s="142" t="e">
        <f t="shared" si="45"/>
        <v>#N/A</v>
      </c>
      <c r="O106" s="144" t="e">
        <f t="shared" si="46"/>
        <v>#N/A</v>
      </c>
      <c r="P106" s="142">
        <f t="shared" si="47"/>
        <v>17.262269334836603</v>
      </c>
      <c r="Q106" s="144">
        <f t="shared" si="48"/>
        <v>0.7372599774741927</v>
      </c>
    </row>
    <row r="107" spans="1:17" x14ac:dyDescent="0.25">
      <c r="A107" s="140" t="e">
        <f t="shared" si="49"/>
        <v>#N/A</v>
      </c>
      <c r="B107" s="135" t="e">
        <f t="shared" si="34"/>
        <v>#N/A</v>
      </c>
      <c r="C107" s="136" t="e">
        <f t="shared" si="35"/>
        <v>#N/A</v>
      </c>
      <c r="D107" s="61" t="e">
        <f t="shared" si="36"/>
        <v>#N/A</v>
      </c>
      <c r="E107" s="58" t="e">
        <f t="shared" si="37"/>
        <v>#N/A</v>
      </c>
      <c r="F107" s="58" t="e">
        <f t="shared" si="38"/>
        <v>#N/A</v>
      </c>
      <c r="G107" s="102" t="e">
        <f t="shared" si="39"/>
        <v>#N/A</v>
      </c>
      <c r="H107" s="61" t="e">
        <f t="shared" si="40"/>
        <v>#N/A</v>
      </c>
      <c r="I107" s="58">
        <f t="shared" si="41"/>
        <v>1.25</v>
      </c>
      <c r="J107" s="58">
        <f t="shared" si="42"/>
        <v>2.2249595143146381E-2</v>
      </c>
      <c r="K107" s="62" t="e">
        <f t="shared" si="43"/>
        <v>#N/A</v>
      </c>
      <c r="L107" s="22">
        <f t="shared" si="50"/>
        <v>95</v>
      </c>
      <c r="M107" s="22">
        <f t="shared" si="44"/>
        <v>1.6580627893946132</v>
      </c>
      <c r="N107" s="142" t="e">
        <f t="shared" si="45"/>
        <v>#N/A</v>
      </c>
      <c r="O107" s="144" t="e">
        <f t="shared" si="46"/>
        <v>#N/A</v>
      </c>
      <c r="P107" s="142">
        <f t="shared" si="47"/>
        <v>15.24115579642252</v>
      </c>
      <c r="Q107" s="144">
        <f t="shared" si="48"/>
        <v>0.65093957006420977</v>
      </c>
    </row>
    <row r="108" spans="1:17" x14ac:dyDescent="0.25">
      <c r="A108" s="140" t="e">
        <f t="shared" si="49"/>
        <v>#N/A</v>
      </c>
      <c r="B108" s="135" t="e">
        <f t="shared" ref="B108:B139" si="51">A108*Deg_to_Rad</f>
        <v>#N/A</v>
      </c>
      <c r="C108" s="136" t="e">
        <f t="shared" ref="C108:C139" si="52">(180-A108*0.5)*Deg_to_Rad</f>
        <v>#N/A</v>
      </c>
      <c r="D108" s="61" t="e">
        <f t="shared" ref="D108:D139" si="53">IF(Load_Case=1,ABS(((FA_SUS*D*0.5)/PI())*(COS(C108)+(0.5*C108*SIN(C108))-(1.5*SIN(C108)/C108)+(0.5*COS(C108))-(0.25*(COS(C108)-SIN(C108)/C108 ))*(9-(4-6*(SIN(C108)/C108)^2 +(2*(COS(C108))^2))/((SIN(C108)/C108)*COS(C108)+1-(2*(SIN(C108)/C108)^2 ))))),NA())</f>
        <v>#N/A</v>
      </c>
      <c r="E108" s="58" t="e">
        <f t="shared" ref="E108:E139" si="54">IF(Load_Case=1,0.25*FA_SUS,NA())</f>
        <v>#N/A</v>
      </c>
      <c r="F108" s="58" t="e">
        <f t="shared" ref="F108:F139" si="55">IF(SC_mem,(E108*1000/(4*tnet_Saddle_Zick*(4*0.5*D+1.56*SQRT((0.5*D*tnet_Saddle_Zick))))),NA())</f>
        <v>#N/A</v>
      </c>
      <c r="G108" s="102" t="e">
        <f t="shared" ref="G108:G139" si="56">IF(SC_bend,D108*1000/(4*0.5*D*tnet_Saddle_Zick^2/6),NA())</f>
        <v>#N/A</v>
      </c>
      <c r="H108" s="61" t="e">
        <f t="shared" ref="H108:H139" si="57">IF(Load_Case=2,ABS(((FA_EXP*D*0.5)/PI())*(COS(C108)+(0.5*C108*SIN(C108))-(1.5*SIN(C108)/C108)+(0.5*COS(C108))-(0.25*(COS(C108)-SIN(C108)/C108 ))*(9-(4-6*(SIN(C108)/C108)^2 +(2*(COS(C108))^2))/((SIN(C108)/C108)*COS(C108)+1-(2*(SIN(C108)/C108)^2 ))))),NA())</f>
        <v>#N/A</v>
      </c>
      <c r="I108" s="58">
        <f t="shared" ref="I108:I139" si="58">IF(Load_Case=2,0.25*FA_EXP,NA())</f>
        <v>1.25</v>
      </c>
      <c r="J108" s="58">
        <f t="shared" ref="J108:J139" si="59">IF(SC_mem,(I108*1000/(4*tnet_Saddle_Zick*(4*0.5*D+1.56*SQRT((0.5*D*tnet_Saddle_Zick))))),NA())</f>
        <v>2.2249595143146381E-2</v>
      </c>
      <c r="K108" s="62" t="e">
        <f t="shared" ref="K108:K139" si="60">IF(SC_bend,H108*1000/(4*0.5*D*tnet_Saddle_Zick^2/6),NA())</f>
        <v>#N/A</v>
      </c>
      <c r="L108" s="22">
        <f t="shared" si="50"/>
        <v>96</v>
      </c>
      <c r="M108" s="22">
        <f t="shared" ref="M108:M139" si="61">L108*Deg_to_Rad</f>
        <v>1.6755160819145565</v>
      </c>
      <c r="N108" s="142" t="e">
        <f t="shared" ref="N108:N139" si="62">IF(Load_Case=1,ABS(((FA_SUS*D*0.5)/PI())*(COS(M108)+(0.5*M108*SIN(M108))-(1.5*SIN(Beta)/Beta)+(0.5*COS(Beta))-(0.25*(COS(M108)-SIN(Beta)/Beta))*(9-(4-6*(SIN(Beta)/Beta)^2 +(2*(COS(Beta))^2))/((SIN(Beta)/Beta)*COS(Beta)+1-(2*(SIN(Beta)/Beta)^2 ))))),NA())</f>
        <v>#N/A</v>
      </c>
      <c r="O108" s="144" t="e">
        <f t="shared" ref="O108:O139" si="63">N108*1000/(4*0.5*D*tnet_Saddle_Zick^2/6)</f>
        <v>#N/A</v>
      </c>
      <c r="P108" s="142">
        <f t="shared" ref="P108:P139" si="64">IF(Load_Case=2,ABS(((FA_EXP*D*0.5)/PI())*(COS(M108)+(0.5*M108*SIN(M108))-(1.5*SIN(Beta)/Beta)+(0.5*COS(Beta))-(0.25*(COS(M108)-SIN(Beta)/Beta))*(9-(4-6*(SIN(Beta)/Beta)^2 +(2*(COS(Beta))^2))/((SIN(Beta)/Beta)*COS(Beta)+1-(2*(SIN(Beta)/Beta)^2 ))))),NA())</f>
        <v>13.093813356833731</v>
      </c>
      <c r="Q108" s="144">
        <f t="shared" ref="Q108:Q139" si="65">P108*1000/(4*0.5*D*tnet_Saddle_Zick^2/6)</f>
        <v>0.55922801071287409</v>
      </c>
    </row>
    <row r="109" spans="1:17" x14ac:dyDescent="0.25">
      <c r="A109" s="140" t="e">
        <f t="shared" ref="A109:A140" si="66">IF((A108+SaddleAngle_Increment)&gt;Maz_zick_saddleangle,NA(),A108+SaddleAngle_Increment)</f>
        <v>#N/A</v>
      </c>
      <c r="B109" s="135" t="e">
        <f t="shared" si="51"/>
        <v>#N/A</v>
      </c>
      <c r="C109" s="136" t="e">
        <f t="shared" si="52"/>
        <v>#N/A</v>
      </c>
      <c r="D109" s="61" t="e">
        <f t="shared" si="53"/>
        <v>#N/A</v>
      </c>
      <c r="E109" s="58" t="e">
        <f t="shared" si="54"/>
        <v>#N/A</v>
      </c>
      <c r="F109" s="58" t="e">
        <f t="shared" si="55"/>
        <v>#N/A</v>
      </c>
      <c r="G109" s="102" t="e">
        <f t="shared" si="56"/>
        <v>#N/A</v>
      </c>
      <c r="H109" s="61" t="e">
        <f t="shared" si="57"/>
        <v>#N/A</v>
      </c>
      <c r="I109" s="58">
        <f t="shared" si="58"/>
        <v>1.25</v>
      </c>
      <c r="J109" s="58">
        <f t="shared" si="59"/>
        <v>2.2249595143146381E-2</v>
      </c>
      <c r="K109" s="62" t="e">
        <f t="shared" si="60"/>
        <v>#N/A</v>
      </c>
      <c r="L109" s="22">
        <f t="shared" ref="L109:L140" si="67">IF((L108+1)&gt;Beta_Deg,NA(),L108+1)</f>
        <v>97</v>
      </c>
      <c r="M109" s="22">
        <f t="shared" si="61"/>
        <v>1.6929693744344996</v>
      </c>
      <c r="N109" s="142" t="e">
        <f t="shared" si="62"/>
        <v>#N/A</v>
      </c>
      <c r="O109" s="144" t="e">
        <f t="shared" si="63"/>
        <v>#N/A</v>
      </c>
      <c r="P109" s="142">
        <f t="shared" si="64"/>
        <v>10.818329059779924</v>
      </c>
      <c r="Q109" s="144">
        <f t="shared" si="65"/>
        <v>0.4620435983365016</v>
      </c>
    </row>
    <row r="110" spans="1:17" x14ac:dyDescent="0.25">
      <c r="A110" s="140" t="e">
        <f t="shared" si="66"/>
        <v>#N/A</v>
      </c>
      <c r="B110" s="135" t="e">
        <f t="shared" si="51"/>
        <v>#N/A</v>
      </c>
      <c r="C110" s="136" t="e">
        <f t="shared" si="52"/>
        <v>#N/A</v>
      </c>
      <c r="D110" s="61" t="e">
        <f t="shared" si="53"/>
        <v>#N/A</v>
      </c>
      <c r="E110" s="58" t="e">
        <f t="shared" si="54"/>
        <v>#N/A</v>
      </c>
      <c r="F110" s="58" t="e">
        <f t="shared" si="55"/>
        <v>#N/A</v>
      </c>
      <c r="G110" s="102" t="e">
        <f t="shared" si="56"/>
        <v>#N/A</v>
      </c>
      <c r="H110" s="61" t="e">
        <f t="shared" si="57"/>
        <v>#N/A</v>
      </c>
      <c r="I110" s="58">
        <f t="shared" si="58"/>
        <v>1.25</v>
      </c>
      <c r="J110" s="58">
        <f t="shared" si="59"/>
        <v>2.2249595143146381E-2</v>
      </c>
      <c r="K110" s="62" t="e">
        <f t="shared" si="60"/>
        <v>#N/A</v>
      </c>
      <c r="L110" s="22">
        <f t="shared" si="67"/>
        <v>98</v>
      </c>
      <c r="M110" s="22">
        <f t="shared" si="61"/>
        <v>1.7104226669544429</v>
      </c>
      <c r="N110" s="142" t="e">
        <f t="shared" si="62"/>
        <v>#N/A</v>
      </c>
      <c r="O110" s="144" t="e">
        <f t="shared" si="63"/>
        <v>#N/A</v>
      </c>
      <c r="P110" s="142">
        <f t="shared" si="64"/>
        <v>8.4128336870746789</v>
      </c>
      <c r="Q110" s="144">
        <f t="shared" si="65"/>
        <v>0.35930649987657126</v>
      </c>
    </row>
    <row r="111" spans="1:17" x14ac:dyDescent="0.25">
      <c r="A111" s="140" t="e">
        <f t="shared" si="66"/>
        <v>#N/A</v>
      </c>
      <c r="B111" s="135" t="e">
        <f t="shared" si="51"/>
        <v>#N/A</v>
      </c>
      <c r="C111" s="136" t="e">
        <f t="shared" si="52"/>
        <v>#N/A</v>
      </c>
      <c r="D111" s="61" t="e">
        <f t="shared" si="53"/>
        <v>#N/A</v>
      </c>
      <c r="E111" s="58" t="e">
        <f t="shared" si="54"/>
        <v>#N/A</v>
      </c>
      <c r="F111" s="58" t="e">
        <f t="shared" si="55"/>
        <v>#N/A</v>
      </c>
      <c r="G111" s="102" t="e">
        <f t="shared" si="56"/>
        <v>#N/A</v>
      </c>
      <c r="H111" s="61" t="e">
        <f t="shared" si="57"/>
        <v>#N/A</v>
      </c>
      <c r="I111" s="58">
        <f t="shared" si="58"/>
        <v>1.25</v>
      </c>
      <c r="J111" s="58">
        <f t="shared" si="59"/>
        <v>2.2249595143146381E-2</v>
      </c>
      <c r="K111" s="62" t="e">
        <f t="shared" si="60"/>
        <v>#N/A</v>
      </c>
      <c r="L111" s="22">
        <f t="shared" si="67"/>
        <v>99</v>
      </c>
      <c r="M111" s="22">
        <f t="shared" si="61"/>
        <v>1.7278759594743862</v>
      </c>
      <c r="N111" s="142" t="e">
        <f t="shared" si="62"/>
        <v>#N/A</v>
      </c>
      <c r="O111" s="144" t="e">
        <f t="shared" si="63"/>
        <v>#N/A</v>
      </c>
      <c r="P111" s="142">
        <f t="shared" si="64"/>
        <v>5.8755031085354172</v>
      </c>
      <c r="Q111" s="144">
        <f t="shared" si="65"/>
        <v>0.25093880795304913</v>
      </c>
    </row>
    <row r="112" spans="1:17" x14ac:dyDescent="0.25">
      <c r="A112" s="140" t="e">
        <f t="shared" si="66"/>
        <v>#N/A</v>
      </c>
      <c r="B112" s="135" t="e">
        <f t="shared" si="51"/>
        <v>#N/A</v>
      </c>
      <c r="C112" s="136" t="e">
        <f t="shared" si="52"/>
        <v>#N/A</v>
      </c>
      <c r="D112" s="61" t="e">
        <f t="shared" si="53"/>
        <v>#N/A</v>
      </c>
      <c r="E112" s="58" t="e">
        <f t="shared" si="54"/>
        <v>#N/A</v>
      </c>
      <c r="F112" s="58" t="e">
        <f t="shared" si="55"/>
        <v>#N/A</v>
      </c>
      <c r="G112" s="102" t="e">
        <f t="shared" si="56"/>
        <v>#N/A</v>
      </c>
      <c r="H112" s="61" t="e">
        <f t="shared" si="57"/>
        <v>#N/A</v>
      </c>
      <c r="I112" s="58">
        <f t="shared" si="58"/>
        <v>1.25</v>
      </c>
      <c r="J112" s="58">
        <f t="shared" si="59"/>
        <v>2.2249595143146381E-2</v>
      </c>
      <c r="K112" s="62" t="e">
        <f t="shared" si="60"/>
        <v>#N/A</v>
      </c>
      <c r="L112" s="22">
        <f t="shared" si="67"/>
        <v>100</v>
      </c>
      <c r="M112" s="22">
        <f t="shared" si="61"/>
        <v>1.7453292519943295</v>
      </c>
      <c r="N112" s="142" t="e">
        <f t="shared" si="62"/>
        <v>#N/A</v>
      </c>
      <c r="O112" s="144" t="e">
        <f t="shared" si="63"/>
        <v>#N/A</v>
      </c>
      <c r="P112" s="142">
        <f t="shared" si="64"/>
        <v>3.2045596164772441</v>
      </c>
      <c r="Q112" s="144">
        <f t="shared" si="65"/>
        <v>0.13686459785972771</v>
      </c>
    </row>
    <row r="113" spans="1:17" x14ac:dyDescent="0.25">
      <c r="A113" s="140" t="e">
        <f t="shared" si="66"/>
        <v>#N/A</v>
      </c>
      <c r="B113" s="135" t="e">
        <f t="shared" si="51"/>
        <v>#N/A</v>
      </c>
      <c r="C113" s="136" t="e">
        <f t="shared" si="52"/>
        <v>#N/A</v>
      </c>
      <c r="D113" s="61" t="e">
        <f t="shared" si="53"/>
        <v>#N/A</v>
      </c>
      <c r="E113" s="58" t="e">
        <f t="shared" si="54"/>
        <v>#N/A</v>
      </c>
      <c r="F113" s="58" t="e">
        <f t="shared" si="55"/>
        <v>#N/A</v>
      </c>
      <c r="G113" s="102" t="e">
        <f t="shared" si="56"/>
        <v>#N/A</v>
      </c>
      <c r="H113" s="61" t="e">
        <f t="shared" si="57"/>
        <v>#N/A</v>
      </c>
      <c r="I113" s="58">
        <f t="shared" si="58"/>
        <v>1.25</v>
      </c>
      <c r="J113" s="58">
        <f t="shared" si="59"/>
        <v>2.2249595143146381E-2</v>
      </c>
      <c r="K113" s="62" t="e">
        <f t="shared" si="60"/>
        <v>#N/A</v>
      </c>
      <c r="L113" s="22">
        <f t="shared" si="67"/>
        <v>101</v>
      </c>
      <c r="M113" s="22">
        <f t="shared" si="61"/>
        <v>1.7627825445142729</v>
      </c>
      <c r="N113" s="142" t="e">
        <f t="shared" si="62"/>
        <v>#N/A</v>
      </c>
      <c r="O113" s="144" t="e">
        <f t="shared" si="63"/>
        <v>#N/A</v>
      </c>
      <c r="P113" s="142">
        <f t="shared" si="64"/>
        <v>0.39827324415851467</v>
      </c>
      <c r="Q113" s="144">
        <f t="shared" si="65"/>
        <v>1.7009983874154377E-2</v>
      </c>
    </row>
    <row r="114" spans="1:17" x14ac:dyDescent="0.25">
      <c r="A114" s="140" t="e">
        <f t="shared" si="66"/>
        <v>#N/A</v>
      </c>
      <c r="B114" s="135" t="e">
        <f t="shared" si="51"/>
        <v>#N/A</v>
      </c>
      <c r="C114" s="136" t="e">
        <f t="shared" si="52"/>
        <v>#N/A</v>
      </c>
      <c r="D114" s="61" t="e">
        <f t="shared" si="53"/>
        <v>#N/A</v>
      </c>
      <c r="E114" s="58" t="e">
        <f t="shared" si="54"/>
        <v>#N/A</v>
      </c>
      <c r="F114" s="58" t="e">
        <f t="shared" si="55"/>
        <v>#N/A</v>
      </c>
      <c r="G114" s="102" t="e">
        <f t="shared" si="56"/>
        <v>#N/A</v>
      </c>
      <c r="H114" s="61" t="e">
        <f t="shared" si="57"/>
        <v>#N/A</v>
      </c>
      <c r="I114" s="58">
        <f t="shared" si="58"/>
        <v>1.25</v>
      </c>
      <c r="J114" s="58">
        <f t="shared" si="59"/>
        <v>2.2249595143146381E-2</v>
      </c>
      <c r="K114" s="62" t="e">
        <f t="shared" si="60"/>
        <v>#N/A</v>
      </c>
      <c r="L114" s="22">
        <f t="shared" si="67"/>
        <v>102</v>
      </c>
      <c r="M114" s="22">
        <f t="shared" si="61"/>
        <v>1.7802358370342162</v>
      </c>
      <c r="N114" s="142" t="e">
        <f t="shared" si="62"/>
        <v>#N/A</v>
      </c>
      <c r="O114" s="144" t="e">
        <f t="shared" si="63"/>
        <v>#N/A</v>
      </c>
      <c r="P114" s="142">
        <f t="shared" si="64"/>
        <v>2.5450369324609143</v>
      </c>
      <c r="Q114" s="144">
        <f t="shared" si="65"/>
        <v>0.10869682514514439</v>
      </c>
    </row>
    <row r="115" spans="1:17" x14ac:dyDescent="0.25">
      <c r="A115" s="140" t="e">
        <f t="shared" si="66"/>
        <v>#N/A</v>
      </c>
      <c r="B115" s="135" t="e">
        <f t="shared" si="51"/>
        <v>#N/A</v>
      </c>
      <c r="C115" s="136" t="e">
        <f t="shared" si="52"/>
        <v>#N/A</v>
      </c>
      <c r="D115" s="61" t="e">
        <f t="shared" si="53"/>
        <v>#N/A</v>
      </c>
      <c r="E115" s="58" t="e">
        <f t="shared" si="54"/>
        <v>#N/A</v>
      </c>
      <c r="F115" s="58" t="e">
        <f t="shared" si="55"/>
        <v>#N/A</v>
      </c>
      <c r="G115" s="102" t="e">
        <f t="shared" si="56"/>
        <v>#N/A</v>
      </c>
      <c r="H115" s="61" t="e">
        <f t="shared" si="57"/>
        <v>#N/A</v>
      </c>
      <c r="I115" s="58">
        <f t="shared" si="58"/>
        <v>1.25</v>
      </c>
      <c r="J115" s="58">
        <f t="shared" si="59"/>
        <v>2.2249595143146381E-2</v>
      </c>
      <c r="K115" s="62" t="e">
        <f t="shared" si="60"/>
        <v>#N/A</v>
      </c>
      <c r="L115" s="22">
        <f t="shared" si="67"/>
        <v>103</v>
      </c>
      <c r="M115" s="22">
        <f t="shared" si="61"/>
        <v>1.7976891295541595</v>
      </c>
      <c r="N115" s="142" t="e">
        <f t="shared" si="62"/>
        <v>#N/A</v>
      </c>
      <c r="O115" s="144" t="e">
        <f t="shared" si="63"/>
        <v>#N/A</v>
      </c>
      <c r="P115" s="142">
        <f t="shared" si="64"/>
        <v>5.6270015102812838</v>
      </c>
      <c r="Q115" s="144">
        <f t="shared" si="65"/>
        <v>0.24032547090115813</v>
      </c>
    </row>
    <row r="116" spans="1:17" x14ac:dyDescent="0.25">
      <c r="A116" s="140" t="e">
        <f t="shared" si="66"/>
        <v>#N/A</v>
      </c>
      <c r="B116" s="135" t="e">
        <f t="shared" si="51"/>
        <v>#N/A</v>
      </c>
      <c r="C116" s="136" t="e">
        <f t="shared" si="52"/>
        <v>#N/A</v>
      </c>
      <c r="D116" s="61" t="e">
        <f t="shared" si="53"/>
        <v>#N/A</v>
      </c>
      <c r="E116" s="58" t="e">
        <f t="shared" si="54"/>
        <v>#N/A</v>
      </c>
      <c r="F116" s="58" t="e">
        <f t="shared" si="55"/>
        <v>#N/A</v>
      </c>
      <c r="G116" s="102" t="e">
        <f t="shared" si="56"/>
        <v>#N/A</v>
      </c>
      <c r="H116" s="61" t="e">
        <f t="shared" si="57"/>
        <v>#N/A</v>
      </c>
      <c r="I116" s="58">
        <f t="shared" si="58"/>
        <v>1.25</v>
      </c>
      <c r="J116" s="58">
        <f t="shared" si="59"/>
        <v>2.2249595143146381E-2</v>
      </c>
      <c r="K116" s="62" t="e">
        <f t="shared" si="60"/>
        <v>#N/A</v>
      </c>
      <c r="L116" s="22">
        <f t="shared" si="67"/>
        <v>104</v>
      </c>
      <c r="M116" s="22">
        <f t="shared" si="61"/>
        <v>1.8151424220741028</v>
      </c>
      <c r="N116" s="142" t="e">
        <f t="shared" si="62"/>
        <v>#N/A</v>
      </c>
      <c r="O116" s="144" t="e">
        <f t="shared" si="63"/>
        <v>#N/A</v>
      </c>
      <c r="P116" s="142">
        <f t="shared" si="64"/>
        <v>8.849199492570115</v>
      </c>
      <c r="Q116" s="144">
        <f t="shared" si="65"/>
        <v>0.37794339156733103</v>
      </c>
    </row>
    <row r="117" spans="1:17" x14ac:dyDescent="0.25">
      <c r="A117" s="140" t="e">
        <f t="shared" si="66"/>
        <v>#N/A</v>
      </c>
      <c r="B117" s="135" t="e">
        <f t="shared" si="51"/>
        <v>#N/A</v>
      </c>
      <c r="C117" s="136" t="e">
        <f t="shared" si="52"/>
        <v>#N/A</v>
      </c>
      <c r="D117" s="61" t="e">
        <f t="shared" si="53"/>
        <v>#N/A</v>
      </c>
      <c r="E117" s="58" t="e">
        <f t="shared" si="54"/>
        <v>#N/A</v>
      </c>
      <c r="F117" s="58" t="e">
        <f t="shared" si="55"/>
        <v>#N/A</v>
      </c>
      <c r="G117" s="102" t="e">
        <f t="shared" si="56"/>
        <v>#N/A</v>
      </c>
      <c r="H117" s="61" t="e">
        <f t="shared" si="57"/>
        <v>#N/A</v>
      </c>
      <c r="I117" s="58">
        <f t="shared" si="58"/>
        <v>1.25</v>
      </c>
      <c r="J117" s="58">
        <f t="shared" si="59"/>
        <v>2.2249595143146381E-2</v>
      </c>
      <c r="K117" s="62" t="e">
        <f t="shared" si="60"/>
        <v>#N/A</v>
      </c>
      <c r="L117" s="22">
        <f t="shared" si="67"/>
        <v>105</v>
      </c>
      <c r="M117" s="22">
        <f t="shared" si="61"/>
        <v>1.8325957145940461</v>
      </c>
      <c r="N117" s="142" t="e">
        <f t="shared" si="62"/>
        <v>#N/A</v>
      </c>
      <c r="O117" s="144" t="e">
        <f t="shared" si="63"/>
        <v>#N/A</v>
      </c>
      <c r="P117" s="142">
        <f t="shared" si="64"/>
        <v>12.213157041036967</v>
      </c>
      <c r="Q117" s="144">
        <f t="shared" si="65"/>
        <v>0.52161576848950975</v>
      </c>
    </row>
    <row r="118" spans="1:17" x14ac:dyDescent="0.25">
      <c r="A118" s="140" t="e">
        <f t="shared" si="66"/>
        <v>#N/A</v>
      </c>
      <c r="B118" s="135" t="e">
        <f t="shared" si="51"/>
        <v>#N/A</v>
      </c>
      <c r="C118" s="136" t="e">
        <f t="shared" si="52"/>
        <v>#N/A</v>
      </c>
      <c r="D118" s="61" t="e">
        <f t="shared" si="53"/>
        <v>#N/A</v>
      </c>
      <c r="E118" s="58" t="e">
        <f t="shared" si="54"/>
        <v>#N/A</v>
      </c>
      <c r="F118" s="58" t="e">
        <f t="shared" si="55"/>
        <v>#N/A</v>
      </c>
      <c r="G118" s="102" t="e">
        <f t="shared" si="56"/>
        <v>#N/A</v>
      </c>
      <c r="H118" s="61" t="e">
        <f t="shared" si="57"/>
        <v>#N/A</v>
      </c>
      <c r="I118" s="58">
        <f t="shared" si="58"/>
        <v>1.25</v>
      </c>
      <c r="J118" s="58">
        <f t="shared" si="59"/>
        <v>2.2249595143146381E-2</v>
      </c>
      <c r="K118" s="62" t="e">
        <f t="shared" si="60"/>
        <v>#N/A</v>
      </c>
      <c r="L118" s="22">
        <f t="shared" si="67"/>
        <v>106</v>
      </c>
      <c r="M118" s="22">
        <f t="shared" si="61"/>
        <v>1.8500490071139892</v>
      </c>
      <c r="N118" s="142" t="e">
        <f t="shared" si="62"/>
        <v>#N/A</v>
      </c>
      <c r="O118" s="144" t="e">
        <f t="shared" si="63"/>
        <v>#N/A</v>
      </c>
      <c r="P118" s="142">
        <f t="shared" si="64"/>
        <v>15.72034624708766</v>
      </c>
      <c r="Q118" s="144">
        <f t="shared" si="65"/>
        <v>0.67140547370703307</v>
      </c>
    </row>
    <row r="119" spans="1:17" x14ac:dyDescent="0.25">
      <c r="A119" s="140" t="e">
        <f t="shared" si="66"/>
        <v>#N/A</v>
      </c>
      <c r="B119" s="135" t="e">
        <f t="shared" si="51"/>
        <v>#N/A</v>
      </c>
      <c r="C119" s="136" t="e">
        <f t="shared" si="52"/>
        <v>#N/A</v>
      </c>
      <c r="D119" s="61" t="e">
        <f t="shared" si="53"/>
        <v>#N/A</v>
      </c>
      <c r="E119" s="58" t="e">
        <f t="shared" si="54"/>
        <v>#N/A</v>
      </c>
      <c r="F119" s="58" t="e">
        <f t="shared" si="55"/>
        <v>#N/A</v>
      </c>
      <c r="G119" s="102" t="e">
        <f t="shared" si="56"/>
        <v>#N/A</v>
      </c>
      <c r="H119" s="61" t="e">
        <f t="shared" si="57"/>
        <v>#N/A</v>
      </c>
      <c r="I119" s="58">
        <f t="shared" si="58"/>
        <v>1.25</v>
      </c>
      <c r="J119" s="58">
        <f t="shared" si="59"/>
        <v>2.2249595143146381E-2</v>
      </c>
      <c r="K119" s="62" t="e">
        <f t="shared" si="60"/>
        <v>#N/A</v>
      </c>
      <c r="L119" s="22">
        <f t="shared" si="67"/>
        <v>107</v>
      </c>
      <c r="M119" s="22">
        <f t="shared" si="61"/>
        <v>1.8675022996339325</v>
      </c>
      <c r="N119" s="142" t="e">
        <f t="shared" si="62"/>
        <v>#N/A</v>
      </c>
      <c r="O119" s="144" t="e">
        <f t="shared" si="63"/>
        <v>#N/A</v>
      </c>
      <c r="P119" s="142">
        <f t="shared" si="64"/>
        <v>19.372183922865762</v>
      </c>
      <c r="Q119" s="144">
        <f t="shared" si="65"/>
        <v>0.82737301831892218</v>
      </c>
    </row>
    <row r="120" spans="1:17" x14ac:dyDescent="0.25">
      <c r="A120" s="140" t="e">
        <f t="shared" si="66"/>
        <v>#N/A</v>
      </c>
      <c r="B120" s="135" t="e">
        <f t="shared" si="51"/>
        <v>#N/A</v>
      </c>
      <c r="C120" s="136" t="e">
        <f t="shared" si="52"/>
        <v>#N/A</v>
      </c>
      <c r="D120" s="61" t="e">
        <f t="shared" si="53"/>
        <v>#N/A</v>
      </c>
      <c r="E120" s="58" t="e">
        <f t="shared" si="54"/>
        <v>#N/A</v>
      </c>
      <c r="F120" s="58" t="e">
        <f t="shared" si="55"/>
        <v>#N/A</v>
      </c>
      <c r="G120" s="102" t="e">
        <f t="shared" si="56"/>
        <v>#N/A</v>
      </c>
      <c r="H120" s="61" t="e">
        <f t="shared" si="57"/>
        <v>#N/A</v>
      </c>
      <c r="I120" s="58">
        <f t="shared" si="58"/>
        <v>1.25</v>
      </c>
      <c r="J120" s="58">
        <f t="shared" si="59"/>
        <v>2.2249595143146381E-2</v>
      </c>
      <c r="K120" s="62" t="e">
        <f t="shared" si="60"/>
        <v>#N/A</v>
      </c>
      <c r="L120" s="22">
        <f t="shared" si="67"/>
        <v>108</v>
      </c>
      <c r="M120" s="22">
        <f t="shared" si="61"/>
        <v>1.8849555921538759</v>
      </c>
      <c r="N120" s="142" t="e">
        <f t="shared" si="62"/>
        <v>#N/A</v>
      </c>
      <c r="O120" s="144" t="e">
        <f t="shared" si="63"/>
        <v>#N/A</v>
      </c>
      <c r="P120" s="142">
        <f t="shared" si="64"/>
        <v>23.170030412681573</v>
      </c>
      <c r="Q120" s="144">
        <f t="shared" si="65"/>
        <v>0.98957650172080758</v>
      </c>
    </row>
    <row r="121" spans="1:17" x14ac:dyDescent="0.25">
      <c r="A121" s="140" t="e">
        <f t="shared" si="66"/>
        <v>#N/A</v>
      </c>
      <c r="B121" s="135" t="e">
        <f t="shared" si="51"/>
        <v>#N/A</v>
      </c>
      <c r="C121" s="136" t="e">
        <f t="shared" si="52"/>
        <v>#N/A</v>
      </c>
      <c r="D121" s="61" t="e">
        <f t="shared" si="53"/>
        <v>#N/A</v>
      </c>
      <c r="E121" s="58" t="e">
        <f t="shared" si="54"/>
        <v>#N/A</v>
      </c>
      <c r="F121" s="58" t="e">
        <f t="shared" si="55"/>
        <v>#N/A</v>
      </c>
      <c r="G121" s="102" t="e">
        <f t="shared" si="56"/>
        <v>#N/A</v>
      </c>
      <c r="H121" s="61" t="e">
        <f t="shared" si="57"/>
        <v>#N/A</v>
      </c>
      <c r="I121" s="58">
        <f t="shared" si="58"/>
        <v>1.25</v>
      </c>
      <c r="J121" s="58">
        <f t="shared" si="59"/>
        <v>2.2249595143146381E-2</v>
      </c>
      <c r="K121" s="62" t="e">
        <f t="shared" si="60"/>
        <v>#N/A</v>
      </c>
      <c r="L121" s="22">
        <f t="shared" si="67"/>
        <v>109</v>
      </c>
      <c r="M121" s="22">
        <f t="shared" si="61"/>
        <v>1.9024088846738192</v>
      </c>
      <c r="N121" s="142" t="e">
        <f t="shared" si="62"/>
        <v>#N/A</v>
      </c>
      <c r="O121" s="144" t="e">
        <f t="shared" si="63"/>
        <v>#N/A</v>
      </c>
      <c r="P121" s="142">
        <f t="shared" si="64"/>
        <v>27.115188425420882</v>
      </c>
      <c r="Q121" s="144">
        <f t="shared" si="65"/>
        <v>1.1580715617378889</v>
      </c>
    </row>
    <row r="122" spans="1:17" x14ac:dyDescent="0.25">
      <c r="A122" s="140" t="e">
        <f t="shared" si="66"/>
        <v>#N/A</v>
      </c>
      <c r="B122" s="135" t="e">
        <f t="shared" si="51"/>
        <v>#N/A</v>
      </c>
      <c r="C122" s="136" t="e">
        <f t="shared" si="52"/>
        <v>#N/A</v>
      </c>
      <c r="D122" s="61" t="e">
        <f t="shared" si="53"/>
        <v>#N/A</v>
      </c>
      <c r="E122" s="58" t="e">
        <f t="shared" si="54"/>
        <v>#N/A</v>
      </c>
      <c r="F122" s="58" t="e">
        <f t="shared" si="55"/>
        <v>#N/A</v>
      </c>
      <c r="G122" s="102" t="e">
        <f t="shared" si="56"/>
        <v>#N/A</v>
      </c>
      <c r="H122" s="61" t="e">
        <f t="shared" si="57"/>
        <v>#N/A</v>
      </c>
      <c r="I122" s="58">
        <f t="shared" si="58"/>
        <v>1.25</v>
      </c>
      <c r="J122" s="58">
        <f t="shared" si="59"/>
        <v>2.2249595143146381E-2</v>
      </c>
      <c r="K122" s="62" t="e">
        <f t="shared" si="60"/>
        <v>#N/A</v>
      </c>
      <c r="L122" s="22">
        <f t="shared" si="67"/>
        <v>110</v>
      </c>
      <c r="M122" s="22">
        <f t="shared" si="61"/>
        <v>1.9198621771937625</v>
      </c>
      <c r="N122" s="142" t="e">
        <f t="shared" si="62"/>
        <v>#N/A</v>
      </c>
      <c r="O122" s="144" t="e">
        <f t="shared" si="63"/>
        <v>#N/A</v>
      </c>
      <c r="P122" s="142">
        <f t="shared" si="64"/>
        <v>31.208901888518081</v>
      </c>
      <c r="Q122" s="144">
        <f t="shared" si="65"/>
        <v>1.3329113256788916</v>
      </c>
    </row>
    <row r="123" spans="1:17" x14ac:dyDescent="0.25">
      <c r="A123" s="140" t="e">
        <f t="shared" si="66"/>
        <v>#N/A</v>
      </c>
      <c r="B123" s="135" t="e">
        <f t="shared" si="51"/>
        <v>#N/A</v>
      </c>
      <c r="C123" s="136" t="e">
        <f t="shared" si="52"/>
        <v>#N/A</v>
      </c>
      <c r="D123" s="61" t="e">
        <f t="shared" si="53"/>
        <v>#N/A</v>
      </c>
      <c r="E123" s="58" t="e">
        <f t="shared" si="54"/>
        <v>#N/A</v>
      </c>
      <c r="F123" s="58" t="e">
        <f t="shared" si="55"/>
        <v>#N/A</v>
      </c>
      <c r="G123" s="102" t="e">
        <f t="shared" si="56"/>
        <v>#N/A</v>
      </c>
      <c r="H123" s="61" t="e">
        <f t="shared" si="57"/>
        <v>#N/A</v>
      </c>
      <c r="I123" s="58">
        <f t="shared" si="58"/>
        <v>1.25</v>
      </c>
      <c r="J123" s="58">
        <f t="shared" si="59"/>
        <v>2.2249595143146381E-2</v>
      </c>
      <c r="K123" s="62" t="e">
        <f t="shared" si="60"/>
        <v>#N/A</v>
      </c>
      <c r="L123" s="22">
        <f t="shared" si="67"/>
        <v>111</v>
      </c>
      <c r="M123" s="22">
        <f t="shared" si="61"/>
        <v>1.9373154697137058</v>
      </c>
      <c r="N123" s="142" t="e">
        <f t="shared" si="62"/>
        <v>#N/A</v>
      </c>
      <c r="O123" s="144" t="e">
        <f t="shared" si="63"/>
        <v>#N/A</v>
      </c>
      <c r="P123" s="142">
        <f t="shared" si="64"/>
        <v>35.452354824071996</v>
      </c>
      <c r="Q123" s="144">
        <f t="shared" si="65"/>
        <v>1.514146362335727</v>
      </c>
    </row>
    <row r="124" spans="1:17" x14ac:dyDescent="0.25">
      <c r="A124" s="140" t="e">
        <f t="shared" si="66"/>
        <v>#N/A</v>
      </c>
      <c r="B124" s="135" t="e">
        <f t="shared" si="51"/>
        <v>#N/A</v>
      </c>
      <c r="C124" s="136" t="e">
        <f t="shared" si="52"/>
        <v>#N/A</v>
      </c>
      <c r="D124" s="61" t="e">
        <f t="shared" si="53"/>
        <v>#N/A</v>
      </c>
      <c r="E124" s="58" t="e">
        <f t="shared" si="54"/>
        <v>#N/A</v>
      </c>
      <c r="F124" s="58" t="e">
        <f t="shared" si="55"/>
        <v>#N/A</v>
      </c>
      <c r="G124" s="102" t="e">
        <f t="shared" si="56"/>
        <v>#N/A</v>
      </c>
      <c r="H124" s="61" t="e">
        <f t="shared" si="57"/>
        <v>#N/A</v>
      </c>
      <c r="I124" s="58">
        <f t="shared" si="58"/>
        <v>1.25</v>
      </c>
      <c r="J124" s="58">
        <f t="shared" si="59"/>
        <v>2.2249595143146381E-2</v>
      </c>
      <c r="K124" s="62" t="e">
        <f t="shared" si="60"/>
        <v>#N/A</v>
      </c>
      <c r="L124" s="22">
        <f t="shared" si="67"/>
        <v>112</v>
      </c>
      <c r="M124" s="22">
        <f t="shared" si="61"/>
        <v>1.9547687622336491</v>
      </c>
      <c r="N124" s="142" t="e">
        <f t="shared" si="62"/>
        <v>#N/A</v>
      </c>
      <c r="O124" s="144" t="e">
        <f t="shared" si="63"/>
        <v>#N/A</v>
      </c>
      <c r="P124" s="142">
        <f t="shared" si="64"/>
        <v>39.846670247673259</v>
      </c>
      <c r="Q124" s="144">
        <f t="shared" si="65"/>
        <v>1.7018246349531454</v>
      </c>
    </row>
    <row r="125" spans="1:17" x14ac:dyDescent="0.25">
      <c r="A125" s="140" t="e">
        <f t="shared" si="66"/>
        <v>#N/A</v>
      </c>
      <c r="B125" s="135" t="e">
        <f t="shared" si="51"/>
        <v>#N/A</v>
      </c>
      <c r="C125" s="136" t="e">
        <f t="shared" si="52"/>
        <v>#N/A</v>
      </c>
      <c r="D125" s="61" t="e">
        <f t="shared" si="53"/>
        <v>#N/A</v>
      </c>
      <c r="E125" s="58" t="e">
        <f t="shared" si="54"/>
        <v>#N/A</v>
      </c>
      <c r="F125" s="58" t="e">
        <f t="shared" si="55"/>
        <v>#N/A</v>
      </c>
      <c r="G125" s="102" t="e">
        <f t="shared" si="56"/>
        <v>#N/A</v>
      </c>
      <c r="H125" s="61" t="e">
        <f t="shared" si="57"/>
        <v>#N/A</v>
      </c>
      <c r="I125" s="58">
        <f t="shared" si="58"/>
        <v>1.25</v>
      </c>
      <c r="J125" s="58">
        <f t="shared" si="59"/>
        <v>2.2249595143146381E-2</v>
      </c>
      <c r="K125" s="62" t="e">
        <f t="shared" si="60"/>
        <v>#N/A</v>
      </c>
      <c r="L125" s="22">
        <f t="shared" si="67"/>
        <v>113</v>
      </c>
      <c r="M125" s="22">
        <f t="shared" si="61"/>
        <v>1.9722220547535925</v>
      </c>
      <c r="N125" s="142" t="e">
        <f t="shared" si="62"/>
        <v>#N/A</v>
      </c>
      <c r="O125" s="144" t="e">
        <f t="shared" si="63"/>
        <v>#N/A</v>
      </c>
      <c r="P125" s="142">
        <f t="shared" si="64"/>
        <v>44.392909090503757</v>
      </c>
      <c r="Q125" s="144">
        <f t="shared" si="65"/>
        <v>1.8959914551923245</v>
      </c>
    </row>
    <row r="126" spans="1:17" x14ac:dyDescent="0.25">
      <c r="A126" s="140" t="e">
        <f t="shared" si="66"/>
        <v>#N/A</v>
      </c>
      <c r="B126" s="135" t="e">
        <f t="shared" si="51"/>
        <v>#N/A</v>
      </c>
      <c r="C126" s="136" t="e">
        <f t="shared" si="52"/>
        <v>#N/A</v>
      </c>
      <c r="D126" s="61" t="e">
        <f t="shared" si="53"/>
        <v>#N/A</v>
      </c>
      <c r="E126" s="58" t="e">
        <f t="shared" si="54"/>
        <v>#N/A</v>
      </c>
      <c r="F126" s="58" t="e">
        <f t="shared" si="55"/>
        <v>#N/A</v>
      </c>
      <c r="G126" s="102" t="e">
        <f t="shared" si="56"/>
        <v>#N/A</v>
      </c>
      <c r="H126" s="61" t="e">
        <f t="shared" si="57"/>
        <v>#N/A</v>
      </c>
      <c r="I126" s="58">
        <f t="shared" si="58"/>
        <v>1.25</v>
      </c>
      <c r="J126" s="58">
        <f t="shared" si="59"/>
        <v>2.2249595143146381E-2</v>
      </c>
      <c r="K126" s="62" t="e">
        <f t="shared" si="60"/>
        <v>#N/A</v>
      </c>
      <c r="L126" s="22">
        <f t="shared" si="67"/>
        <v>114</v>
      </c>
      <c r="M126" s="22">
        <f t="shared" si="61"/>
        <v>1.9896753472735358</v>
      </c>
      <c r="N126" s="142" t="e">
        <f t="shared" si="62"/>
        <v>#N/A</v>
      </c>
      <c r="O126" s="144" t="e">
        <f t="shared" si="63"/>
        <v>#N/A</v>
      </c>
      <c r="P126" s="142">
        <f t="shared" si="64"/>
        <v>49.092069145261071</v>
      </c>
      <c r="Q126" s="144">
        <f t="shared" si="65"/>
        <v>2.0966894381120076</v>
      </c>
    </row>
    <row r="127" spans="1:17" x14ac:dyDescent="0.25">
      <c r="A127" s="140" t="e">
        <f t="shared" si="66"/>
        <v>#N/A</v>
      </c>
      <c r="B127" s="135" t="e">
        <f t="shared" si="51"/>
        <v>#N/A</v>
      </c>
      <c r="C127" s="136" t="e">
        <f t="shared" si="52"/>
        <v>#N/A</v>
      </c>
      <c r="D127" s="61" t="e">
        <f t="shared" si="53"/>
        <v>#N/A</v>
      </c>
      <c r="E127" s="58" t="e">
        <f t="shared" si="54"/>
        <v>#N/A</v>
      </c>
      <c r="F127" s="58" t="e">
        <f t="shared" si="55"/>
        <v>#N/A</v>
      </c>
      <c r="G127" s="102" t="e">
        <f t="shared" si="56"/>
        <v>#N/A</v>
      </c>
      <c r="H127" s="61" t="e">
        <f t="shared" si="57"/>
        <v>#N/A</v>
      </c>
      <c r="I127" s="58">
        <f t="shared" si="58"/>
        <v>1.25</v>
      </c>
      <c r="J127" s="58">
        <f t="shared" si="59"/>
        <v>2.2249595143146381E-2</v>
      </c>
      <c r="K127" s="62" t="e">
        <f t="shared" si="60"/>
        <v>#N/A</v>
      </c>
      <c r="L127" s="22">
        <f t="shared" si="67"/>
        <v>115</v>
      </c>
      <c r="M127" s="22">
        <f t="shared" si="61"/>
        <v>2.0071286397934789</v>
      </c>
      <c r="N127" s="142" t="e">
        <f t="shared" si="62"/>
        <v>#N/A</v>
      </c>
      <c r="O127" s="144" t="e">
        <f t="shared" si="63"/>
        <v>#N/A</v>
      </c>
      <c r="P127" s="142">
        <f t="shared" si="64"/>
        <v>53.945084036451739</v>
      </c>
      <c r="Q127" s="144">
        <f t="shared" si="65"/>
        <v>2.3039584581904169</v>
      </c>
    </row>
    <row r="128" spans="1:17" x14ac:dyDescent="0.25">
      <c r="A128" s="140" t="e">
        <f t="shared" si="66"/>
        <v>#N/A</v>
      </c>
      <c r="B128" s="135" t="e">
        <f t="shared" si="51"/>
        <v>#N/A</v>
      </c>
      <c r="C128" s="136" t="e">
        <f t="shared" si="52"/>
        <v>#N/A</v>
      </c>
      <c r="D128" s="61" t="e">
        <f t="shared" si="53"/>
        <v>#N/A</v>
      </c>
      <c r="E128" s="58" t="e">
        <f t="shared" si="54"/>
        <v>#N/A</v>
      </c>
      <c r="F128" s="58" t="e">
        <f t="shared" si="55"/>
        <v>#N/A</v>
      </c>
      <c r="G128" s="102" t="e">
        <f t="shared" si="56"/>
        <v>#N/A</v>
      </c>
      <c r="H128" s="61" t="e">
        <f t="shared" si="57"/>
        <v>#N/A</v>
      </c>
      <c r="I128" s="58">
        <f t="shared" si="58"/>
        <v>1.25</v>
      </c>
      <c r="J128" s="58">
        <f t="shared" si="59"/>
        <v>2.2249595143146381E-2</v>
      </c>
      <c r="K128" s="62" t="e">
        <f t="shared" si="60"/>
        <v>#N/A</v>
      </c>
      <c r="L128" s="22">
        <f t="shared" si="67"/>
        <v>116</v>
      </c>
      <c r="M128" s="22">
        <f t="shared" si="61"/>
        <v>2.0245819323134224</v>
      </c>
      <c r="N128" s="142" t="e">
        <f t="shared" si="62"/>
        <v>#N/A</v>
      </c>
      <c r="O128" s="144" t="e">
        <f t="shared" si="63"/>
        <v>#N/A</v>
      </c>
      <c r="P128" s="142">
        <f t="shared" si="64"/>
        <v>58.952822215588412</v>
      </c>
      <c r="Q128" s="144">
        <f t="shared" si="65"/>
        <v>2.5178356064107961</v>
      </c>
    </row>
    <row r="129" spans="1:17" x14ac:dyDescent="0.25">
      <c r="A129" s="140" t="e">
        <f t="shared" si="66"/>
        <v>#N/A</v>
      </c>
      <c r="B129" s="135" t="e">
        <f t="shared" si="51"/>
        <v>#N/A</v>
      </c>
      <c r="C129" s="136" t="e">
        <f t="shared" si="52"/>
        <v>#N/A</v>
      </c>
      <c r="D129" s="61" t="e">
        <f t="shared" si="53"/>
        <v>#N/A</v>
      </c>
      <c r="E129" s="58" t="e">
        <f t="shared" si="54"/>
        <v>#N/A</v>
      </c>
      <c r="F129" s="58" t="e">
        <f t="shared" si="55"/>
        <v>#N/A</v>
      </c>
      <c r="G129" s="102" t="e">
        <f t="shared" si="56"/>
        <v>#N/A</v>
      </c>
      <c r="H129" s="61" t="e">
        <f t="shared" si="57"/>
        <v>#N/A</v>
      </c>
      <c r="I129" s="58">
        <f t="shared" si="58"/>
        <v>1.25</v>
      </c>
      <c r="J129" s="58">
        <f t="shared" si="59"/>
        <v>2.2249595143146381E-2</v>
      </c>
      <c r="K129" s="62" t="e">
        <f t="shared" si="60"/>
        <v>#N/A</v>
      </c>
      <c r="L129" s="22">
        <f t="shared" si="67"/>
        <v>117</v>
      </c>
      <c r="M129" s="22">
        <f t="shared" si="61"/>
        <v>2.0420352248333655</v>
      </c>
      <c r="N129" s="142" t="e">
        <f t="shared" si="62"/>
        <v>#N/A</v>
      </c>
      <c r="O129" s="144" t="e">
        <f t="shared" si="63"/>
        <v>#N/A</v>
      </c>
      <c r="P129" s="142">
        <f t="shared" si="64"/>
        <v>64.116085981814038</v>
      </c>
      <c r="Q129" s="144">
        <f t="shared" si="65"/>
        <v>2.7383551484329258</v>
      </c>
    </row>
    <row r="130" spans="1:17" x14ac:dyDescent="0.25">
      <c r="A130" s="140" t="e">
        <f t="shared" si="66"/>
        <v>#N/A</v>
      </c>
      <c r="B130" s="135" t="e">
        <f t="shared" si="51"/>
        <v>#N/A</v>
      </c>
      <c r="C130" s="136" t="e">
        <f t="shared" si="52"/>
        <v>#N/A</v>
      </c>
      <c r="D130" s="61" t="e">
        <f t="shared" si="53"/>
        <v>#N/A</v>
      </c>
      <c r="E130" s="58" t="e">
        <f t="shared" si="54"/>
        <v>#N/A</v>
      </c>
      <c r="F130" s="58" t="e">
        <f t="shared" si="55"/>
        <v>#N/A</v>
      </c>
      <c r="G130" s="102" t="e">
        <f t="shared" si="56"/>
        <v>#N/A</v>
      </c>
      <c r="H130" s="61" t="e">
        <f t="shared" si="57"/>
        <v>#N/A</v>
      </c>
      <c r="I130" s="58">
        <f t="shared" si="58"/>
        <v>1.25</v>
      </c>
      <c r="J130" s="58">
        <f t="shared" si="59"/>
        <v>2.2249595143146381E-2</v>
      </c>
      <c r="K130" s="62" t="e">
        <f t="shared" si="60"/>
        <v>#N/A</v>
      </c>
      <c r="L130" s="22">
        <f t="shared" si="67"/>
        <v>118</v>
      </c>
      <c r="M130" s="22">
        <f t="shared" si="61"/>
        <v>2.0594885173533091</v>
      </c>
      <c r="N130" s="142" t="e">
        <f t="shared" si="62"/>
        <v>#N/A</v>
      </c>
      <c r="O130" s="144" t="e">
        <f t="shared" si="63"/>
        <v>#N/A</v>
      </c>
      <c r="P130" s="142">
        <f t="shared" si="64"/>
        <v>69.435610528474228</v>
      </c>
      <c r="Q130" s="144">
        <f t="shared" si="65"/>
        <v>2.9655484838728645</v>
      </c>
    </row>
    <row r="131" spans="1:17" x14ac:dyDescent="0.25">
      <c r="A131" s="140" t="e">
        <f t="shared" si="66"/>
        <v>#N/A</v>
      </c>
      <c r="B131" s="135" t="e">
        <f t="shared" si="51"/>
        <v>#N/A</v>
      </c>
      <c r="C131" s="136" t="e">
        <f t="shared" si="52"/>
        <v>#N/A</v>
      </c>
      <c r="D131" s="61" t="e">
        <f t="shared" si="53"/>
        <v>#N/A</v>
      </c>
      <c r="E131" s="58" t="e">
        <f t="shared" si="54"/>
        <v>#N/A</v>
      </c>
      <c r="F131" s="58" t="e">
        <f t="shared" si="55"/>
        <v>#N/A</v>
      </c>
      <c r="G131" s="102" t="e">
        <f t="shared" si="56"/>
        <v>#N/A</v>
      </c>
      <c r="H131" s="61" t="e">
        <f t="shared" si="57"/>
        <v>#N/A</v>
      </c>
      <c r="I131" s="58">
        <f t="shared" si="58"/>
        <v>1.25</v>
      </c>
      <c r="J131" s="58">
        <f t="shared" si="59"/>
        <v>2.2249595143146381E-2</v>
      </c>
      <c r="K131" s="62" t="e">
        <f t="shared" si="60"/>
        <v>#N/A</v>
      </c>
      <c r="L131" s="22">
        <f t="shared" si="67"/>
        <v>119</v>
      </c>
      <c r="M131" s="22">
        <f t="shared" si="61"/>
        <v>2.0769418098732522</v>
      </c>
      <c r="N131" s="142" t="e">
        <f t="shared" si="62"/>
        <v>#N/A</v>
      </c>
      <c r="O131" s="144" t="e">
        <f t="shared" si="63"/>
        <v>#N/A</v>
      </c>
      <c r="P131" s="142">
        <f t="shared" si="64"/>
        <v>74.912063016137125</v>
      </c>
      <c r="Q131" s="144">
        <f t="shared" si="65"/>
        <v>3.1994441067122503</v>
      </c>
    </row>
    <row r="132" spans="1:17" x14ac:dyDescent="0.25">
      <c r="A132" s="140" t="e">
        <f t="shared" si="66"/>
        <v>#N/A</v>
      </c>
      <c r="B132" s="135" t="e">
        <f t="shared" si="51"/>
        <v>#N/A</v>
      </c>
      <c r="C132" s="136" t="e">
        <f t="shared" si="52"/>
        <v>#N/A</v>
      </c>
      <c r="D132" s="61" t="e">
        <f t="shared" si="53"/>
        <v>#N/A</v>
      </c>
      <c r="E132" s="58" t="e">
        <f t="shared" si="54"/>
        <v>#N/A</v>
      </c>
      <c r="F132" s="58" t="e">
        <f t="shared" si="55"/>
        <v>#N/A</v>
      </c>
      <c r="G132" s="102" t="e">
        <f t="shared" si="56"/>
        <v>#N/A</v>
      </c>
      <c r="H132" s="61" t="e">
        <f t="shared" si="57"/>
        <v>#N/A</v>
      </c>
      <c r="I132" s="58">
        <f t="shared" si="58"/>
        <v>1.25</v>
      </c>
      <c r="J132" s="58">
        <f t="shared" si="59"/>
        <v>2.2249595143146381E-2</v>
      </c>
      <c r="K132" s="62" t="e">
        <f t="shared" si="60"/>
        <v>#N/A</v>
      </c>
      <c r="L132" s="22">
        <f t="shared" si="67"/>
        <v>120</v>
      </c>
      <c r="M132" s="22">
        <f t="shared" si="61"/>
        <v>2.0943951023931953</v>
      </c>
      <c r="N132" s="142" t="e">
        <f t="shared" si="62"/>
        <v>#N/A</v>
      </c>
      <c r="O132" s="144" t="e">
        <f t="shared" si="63"/>
        <v>#N/A</v>
      </c>
      <c r="P132" s="142">
        <f t="shared" si="64"/>
        <v>80.546041672565153</v>
      </c>
      <c r="Q132" s="144">
        <f t="shared" si="65"/>
        <v>3.4400675668586933</v>
      </c>
    </row>
    <row r="133" spans="1:17" x14ac:dyDescent="0.25">
      <c r="A133" s="140" t="e">
        <f t="shared" si="66"/>
        <v>#N/A</v>
      </c>
      <c r="B133" s="135" t="e">
        <f t="shared" si="51"/>
        <v>#N/A</v>
      </c>
      <c r="C133" s="136" t="e">
        <f t="shared" si="52"/>
        <v>#N/A</v>
      </c>
      <c r="D133" s="61" t="e">
        <f t="shared" si="53"/>
        <v>#N/A</v>
      </c>
      <c r="E133" s="58" t="e">
        <f t="shared" si="54"/>
        <v>#N/A</v>
      </c>
      <c r="F133" s="58" t="e">
        <f t="shared" si="55"/>
        <v>#N/A</v>
      </c>
      <c r="G133" s="102" t="e">
        <f t="shared" si="56"/>
        <v>#N/A</v>
      </c>
      <c r="H133" s="61" t="e">
        <f t="shared" si="57"/>
        <v>#N/A</v>
      </c>
      <c r="I133" s="58">
        <f t="shared" si="58"/>
        <v>1.25</v>
      </c>
      <c r="J133" s="58">
        <f t="shared" si="59"/>
        <v>2.2249595143146381E-2</v>
      </c>
      <c r="K133" s="62" t="e">
        <f t="shared" si="60"/>
        <v>#N/A</v>
      </c>
      <c r="L133" s="22" t="e">
        <f t="shared" si="67"/>
        <v>#N/A</v>
      </c>
      <c r="M133" s="22" t="e">
        <f t="shared" si="61"/>
        <v>#N/A</v>
      </c>
      <c r="N133" s="142" t="e">
        <f t="shared" si="62"/>
        <v>#N/A</v>
      </c>
      <c r="O133" s="144" t="e">
        <f t="shared" si="63"/>
        <v>#N/A</v>
      </c>
      <c r="P133" s="142" t="e">
        <f t="shared" si="64"/>
        <v>#N/A</v>
      </c>
      <c r="Q133" s="144" t="e">
        <f t="shared" si="65"/>
        <v>#N/A</v>
      </c>
    </row>
    <row r="134" spans="1:17" x14ac:dyDescent="0.25">
      <c r="A134" s="140" t="e">
        <f t="shared" si="66"/>
        <v>#N/A</v>
      </c>
      <c r="B134" s="135" t="e">
        <f t="shared" si="51"/>
        <v>#N/A</v>
      </c>
      <c r="C134" s="136" t="e">
        <f t="shared" si="52"/>
        <v>#N/A</v>
      </c>
      <c r="D134" s="61" t="e">
        <f t="shared" si="53"/>
        <v>#N/A</v>
      </c>
      <c r="E134" s="58" t="e">
        <f t="shared" si="54"/>
        <v>#N/A</v>
      </c>
      <c r="F134" s="58" t="e">
        <f t="shared" si="55"/>
        <v>#N/A</v>
      </c>
      <c r="G134" s="102" t="e">
        <f t="shared" si="56"/>
        <v>#N/A</v>
      </c>
      <c r="H134" s="61" t="e">
        <f t="shared" si="57"/>
        <v>#N/A</v>
      </c>
      <c r="I134" s="58">
        <f t="shared" si="58"/>
        <v>1.25</v>
      </c>
      <c r="J134" s="58">
        <f t="shared" si="59"/>
        <v>2.2249595143146381E-2</v>
      </c>
      <c r="K134" s="62" t="e">
        <f t="shared" si="60"/>
        <v>#N/A</v>
      </c>
      <c r="L134" s="22" t="e">
        <f t="shared" si="67"/>
        <v>#N/A</v>
      </c>
      <c r="M134" s="22" t="e">
        <f t="shared" si="61"/>
        <v>#N/A</v>
      </c>
      <c r="N134" s="142" t="e">
        <f t="shared" si="62"/>
        <v>#N/A</v>
      </c>
      <c r="O134" s="144" t="e">
        <f t="shared" si="63"/>
        <v>#N/A</v>
      </c>
      <c r="P134" s="142" t="e">
        <f t="shared" si="64"/>
        <v>#N/A</v>
      </c>
      <c r="Q134" s="144" t="e">
        <f t="shared" si="65"/>
        <v>#N/A</v>
      </c>
    </row>
    <row r="135" spans="1:17" x14ac:dyDescent="0.25">
      <c r="A135" s="140" t="e">
        <f t="shared" si="66"/>
        <v>#N/A</v>
      </c>
      <c r="B135" s="135" t="e">
        <f t="shared" si="51"/>
        <v>#N/A</v>
      </c>
      <c r="C135" s="136" t="e">
        <f t="shared" si="52"/>
        <v>#N/A</v>
      </c>
      <c r="D135" s="61" t="e">
        <f t="shared" si="53"/>
        <v>#N/A</v>
      </c>
      <c r="E135" s="58" t="e">
        <f t="shared" si="54"/>
        <v>#N/A</v>
      </c>
      <c r="F135" s="58" t="e">
        <f t="shared" si="55"/>
        <v>#N/A</v>
      </c>
      <c r="G135" s="102" t="e">
        <f t="shared" si="56"/>
        <v>#N/A</v>
      </c>
      <c r="H135" s="61" t="e">
        <f t="shared" si="57"/>
        <v>#N/A</v>
      </c>
      <c r="I135" s="58">
        <f t="shared" si="58"/>
        <v>1.25</v>
      </c>
      <c r="J135" s="58">
        <f t="shared" si="59"/>
        <v>2.2249595143146381E-2</v>
      </c>
      <c r="K135" s="62" t="e">
        <f t="shared" si="60"/>
        <v>#N/A</v>
      </c>
      <c r="L135" s="22" t="e">
        <f t="shared" si="67"/>
        <v>#N/A</v>
      </c>
      <c r="M135" s="22" t="e">
        <f t="shared" si="61"/>
        <v>#N/A</v>
      </c>
      <c r="N135" s="142" t="e">
        <f t="shared" si="62"/>
        <v>#N/A</v>
      </c>
      <c r="O135" s="144" t="e">
        <f t="shared" si="63"/>
        <v>#N/A</v>
      </c>
      <c r="P135" s="142" t="e">
        <f t="shared" si="64"/>
        <v>#N/A</v>
      </c>
      <c r="Q135" s="144" t="e">
        <f t="shared" si="65"/>
        <v>#N/A</v>
      </c>
    </row>
    <row r="136" spans="1:17" x14ac:dyDescent="0.25">
      <c r="A136" s="140" t="e">
        <f t="shared" si="66"/>
        <v>#N/A</v>
      </c>
      <c r="B136" s="135" t="e">
        <f t="shared" si="51"/>
        <v>#N/A</v>
      </c>
      <c r="C136" s="136" t="e">
        <f t="shared" si="52"/>
        <v>#N/A</v>
      </c>
      <c r="D136" s="61" t="e">
        <f t="shared" si="53"/>
        <v>#N/A</v>
      </c>
      <c r="E136" s="58" t="e">
        <f t="shared" si="54"/>
        <v>#N/A</v>
      </c>
      <c r="F136" s="58" t="e">
        <f t="shared" si="55"/>
        <v>#N/A</v>
      </c>
      <c r="G136" s="102" t="e">
        <f t="shared" si="56"/>
        <v>#N/A</v>
      </c>
      <c r="H136" s="61" t="e">
        <f t="shared" si="57"/>
        <v>#N/A</v>
      </c>
      <c r="I136" s="58">
        <f t="shared" si="58"/>
        <v>1.25</v>
      </c>
      <c r="J136" s="58">
        <f t="shared" si="59"/>
        <v>2.2249595143146381E-2</v>
      </c>
      <c r="K136" s="62" t="e">
        <f t="shared" si="60"/>
        <v>#N/A</v>
      </c>
      <c r="L136" s="22" t="e">
        <f t="shared" si="67"/>
        <v>#N/A</v>
      </c>
      <c r="M136" s="22" t="e">
        <f t="shared" si="61"/>
        <v>#N/A</v>
      </c>
      <c r="N136" s="142" t="e">
        <f t="shared" si="62"/>
        <v>#N/A</v>
      </c>
      <c r="O136" s="144" t="e">
        <f t="shared" si="63"/>
        <v>#N/A</v>
      </c>
      <c r="P136" s="142" t="e">
        <f t="shared" si="64"/>
        <v>#N/A</v>
      </c>
      <c r="Q136" s="144" t="e">
        <f t="shared" si="65"/>
        <v>#N/A</v>
      </c>
    </row>
    <row r="137" spans="1:17" x14ac:dyDescent="0.25">
      <c r="A137" s="140" t="e">
        <f t="shared" si="66"/>
        <v>#N/A</v>
      </c>
      <c r="B137" s="135" t="e">
        <f t="shared" si="51"/>
        <v>#N/A</v>
      </c>
      <c r="C137" s="136" t="e">
        <f t="shared" si="52"/>
        <v>#N/A</v>
      </c>
      <c r="D137" s="61" t="e">
        <f t="shared" si="53"/>
        <v>#N/A</v>
      </c>
      <c r="E137" s="58" t="e">
        <f t="shared" si="54"/>
        <v>#N/A</v>
      </c>
      <c r="F137" s="58" t="e">
        <f t="shared" si="55"/>
        <v>#N/A</v>
      </c>
      <c r="G137" s="102" t="e">
        <f t="shared" si="56"/>
        <v>#N/A</v>
      </c>
      <c r="H137" s="61" t="e">
        <f t="shared" si="57"/>
        <v>#N/A</v>
      </c>
      <c r="I137" s="58">
        <f t="shared" si="58"/>
        <v>1.25</v>
      </c>
      <c r="J137" s="58">
        <f t="shared" si="59"/>
        <v>2.2249595143146381E-2</v>
      </c>
      <c r="K137" s="62" t="e">
        <f t="shared" si="60"/>
        <v>#N/A</v>
      </c>
      <c r="L137" s="22" t="e">
        <f t="shared" si="67"/>
        <v>#N/A</v>
      </c>
      <c r="M137" s="22" t="e">
        <f t="shared" si="61"/>
        <v>#N/A</v>
      </c>
      <c r="N137" s="142" t="e">
        <f t="shared" si="62"/>
        <v>#N/A</v>
      </c>
      <c r="O137" s="144" t="e">
        <f t="shared" si="63"/>
        <v>#N/A</v>
      </c>
      <c r="P137" s="142" t="e">
        <f t="shared" si="64"/>
        <v>#N/A</v>
      </c>
      <c r="Q137" s="144" t="e">
        <f t="shared" si="65"/>
        <v>#N/A</v>
      </c>
    </row>
    <row r="138" spans="1:17" x14ac:dyDescent="0.25">
      <c r="A138" s="140" t="e">
        <f t="shared" si="66"/>
        <v>#N/A</v>
      </c>
      <c r="B138" s="135" t="e">
        <f t="shared" si="51"/>
        <v>#N/A</v>
      </c>
      <c r="C138" s="136" t="e">
        <f t="shared" si="52"/>
        <v>#N/A</v>
      </c>
      <c r="D138" s="61" t="e">
        <f t="shared" si="53"/>
        <v>#N/A</v>
      </c>
      <c r="E138" s="58" t="e">
        <f t="shared" si="54"/>
        <v>#N/A</v>
      </c>
      <c r="F138" s="58" t="e">
        <f t="shared" si="55"/>
        <v>#N/A</v>
      </c>
      <c r="G138" s="102" t="e">
        <f t="shared" si="56"/>
        <v>#N/A</v>
      </c>
      <c r="H138" s="61" t="e">
        <f t="shared" si="57"/>
        <v>#N/A</v>
      </c>
      <c r="I138" s="58">
        <f t="shared" si="58"/>
        <v>1.25</v>
      </c>
      <c r="J138" s="58">
        <f t="shared" si="59"/>
        <v>2.2249595143146381E-2</v>
      </c>
      <c r="K138" s="62" t="e">
        <f t="shared" si="60"/>
        <v>#N/A</v>
      </c>
      <c r="L138" s="22" t="e">
        <f t="shared" si="67"/>
        <v>#N/A</v>
      </c>
      <c r="M138" s="22" t="e">
        <f t="shared" si="61"/>
        <v>#N/A</v>
      </c>
      <c r="N138" s="142" t="e">
        <f t="shared" si="62"/>
        <v>#N/A</v>
      </c>
      <c r="O138" s="144" t="e">
        <f t="shared" si="63"/>
        <v>#N/A</v>
      </c>
      <c r="P138" s="142" t="e">
        <f t="shared" si="64"/>
        <v>#N/A</v>
      </c>
      <c r="Q138" s="144" t="e">
        <f t="shared" si="65"/>
        <v>#N/A</v>
      </c>
    </row>
    <row r="139" spans="1:17" x14ac:dyDescent="0.25">
      <c r="A139" s="140" t="e">
        <f t="shared" si="66"/>
        <v>#N/A</v>
      </c>
      <c r="B139" s="135" t="e">
        <f t="shared" si="51"/>
        <v>#N/A</v>
      </c>
      <c r="C139" s="136" t="e">
        <f t="shared" si="52"/>
        <v>#N/A</v>
      </c>
      <c r="D139" s="61" t="e">
        <f t="shared" si="53"/>
        <v>#N/A</v>
      </c>
      <c r="E139" s="58" t="e">
        <f t="shared" si="54"/>
        <v>#N/A</v>
      </c>
      <c r="F139" s="58" t="e">
        <f t="shared" si="55"/>
        <v>#N/A</v>
      </c>
      <c r="G139" s="102" t="e">
        <f t="shared" si="56"/>
        <v>#N/A</v>
      </c>
      <c r="H139" s="61" t="e">
        <f t="shared" si="57"/>
        <v>#N/A</v>
      </c>
      <c r="I139" s="58">
        <f t="shared" si="58"/>
        <v>1.25</v>
      </c>
      <c r="J139" s="58">
        <f t="shared" si="59"/>
        <v>2.2249595143146381E-2</v>
      </c>
      <c r="K139" s="62" t="e">
        <f t="shared" si="60"/>
        <v>#N/A</v>
      </c>
      <c r="L139" s="22" t="e">
        <f t="shared" si="67"/>
        <v>#N/A</v>
      </c>
      <c r="M139" s="22" t="e">
        <f t="shared" si="61"/>
        <v>#N/A</v>
      </c>
      <c r="N139" s="142" t="e">
        <f t="shared" si="62"/>
        <v>#N/A</v>
      </c>
      <c r="O139" s="144" t="e">
        <f t="shared" si="63"/>
        <v>#N/A</v>
      </c>
      <c r="P139" s="142" t="e">
        <f t="shared" si="64"/>
        <v>#N/A</v>
      </c>
      <c r="Q139" s="144" t="e">
        <f t="shared" si="65"/>
        <v>#N/A</v>
      </c>
    </row>
    <row r="140" spans="1:17" x14ac:dyDescent="0.25">
      <c r="A140" s="140" t="e">
        <f t="shared" si="66"/>
        <v>#N/A</v>
      </c>
      <c r="B140" s="135" t="e">
        <f t="shared" ref="B140:B170" si="68">A140*Deg_to_Rad</f>
        <v>#N/A</v>
      </c>
      <c r="C140" s="136" t="e">
        <f t="shared" ref="C140:C170" si="69">(180-A140*0.5)*Deg_to_Rad</f>
        <v>#N/A</v>
      </c>
      <c r="D140" s="61" t="e">
        <f t="shared" ref="D140:D170" si="70">IF(Load_Case=1,ABS(((FA_SUS*D*0.5)/PI())*(COS(C140)+(0.5*C140*SIN(C140))-(1.5*SIN(C140)/C140)+(0.5*COS(C140))-(0.25*(COS(C140)-SIN(C140)/C140 ))*(9-(4-6*(SIN(C140)/C140)^2 +(2*(COS(C140))^2))/((SIN(C140)/C140)*COS(C140)+1-(2*(SIN(C140)/C140)^2 ))))),NA())</f>
        <v>#N/A</v>
      </c>
      <c r="E140" s="58" t="e">
        <f t="shared" ref="E140:E170" si="71">IF(Load_Case=1,0.25*FA_SUS,NA())</f>
        <v>#N/A</v>
      </c>
      <c r="F140" s="58" t="e">
        <f t="shared" ref="F140:F170" si="72">IF(SC_mem,(E140*1000/(4*tnet_Saddle_Zick*(4*0.5*D+1.56*SQRT((0.5*D*tnet_Saddle_Zick))))),NA())</f>
        <v>#N/A</v>
      </c>
      <c r="G140" s="102" t="e">
        <f t="shared" ref="G140:G170" si="73">IF(SC_bend,D140*1000/(4*0.5*D*tnet_Saddle_Zick^2/6),NA())</f>
        <v>#N/A</v>
      </c>
      <c r="H140" s="61" t="e">
        <f t="shared" ref="H140:H170" si="74">IF(Load_Case=2,ABS(((FA_EXP*D*0.5)/PI())*(COS(C140)+(0.5*C140*SIN(C140))-(1.5*SIN(C140)/C140)+(0.5*COS(C140))-(0.25*(COS(C140)-SIN(C140)/C140 ))*(9-(4-6*(SIN(C140)/C140)^2 +(2*(COS(C140))^2))/((SIN(C140)/C140)*COS(C140)+1-(2*(SIN(C140)/C140)^2 ))))),NA())</f>
        <v>#N/A</v>
      </c>
      <c r="I140" s="58">
        <f t="shared" ref="I140:I170" si="75">IF(Load_Case=2,0.25*FA_EXP,NA())</f>
        <v>1.25</v>
      </c>
      <c r="J140" s="58">
        <f t="shared" ref="J140:J170" si="76">IF(SC_mem,(I140*1000/(4*tnet_Saddle_Zick*(4*0.5*D+1.56*SQRT((0.5*D*tnet_Saddle_Zick))))),NA())</f>
        <v>2.2249595143146381E-2</v>
      </c>
      <c r="K140" s="62" t="e">
        <f t="shared" ref="K140:K170" si="77">IF(SC_bend,H140*1000/(4*0.5*D*tnet_Saddle_Zick^2/6),NA())</f>
        <v>#N/A</v>
      </c>
      <c r="L140" s="22" t="e">
        <f t="shared" si="67"/>
        <v>#N/A</v>
      </c>
      <c r="M140" s="22" t="e">
        <f t="shared" ref="M140:M170" si="78">L140*Deg_to_Rad</f>
        <v>#N/A</v>
      </c>
      <c r="N140" s="142" t="e">
        <f t="shared" ref="N140:N170" si="79">IF(Load_Case=1,ABS(((FA_SUS*D*0.5)/PI())*(COS(M140)+(0.5*M140*SIN(M140))-(1.5*SIN(Beta)/Beta)+(0.5*COS(Beta))-(0.25*(COS(M140)-SIN(Beta)/Beta))*(9-(4-6*(SIN(Beta)/Beta)^2 +(2*(COS(Beta))^2))/((SIN(Beta)/Beta)*COS(Beta)+1-(2*(SIN(Beta)/Beta)^2 ))))),NA())</f>
        <v>#N/A</v>
      </c>
      <c r="O140" s="144" t="e">
        <f t="shared" ref="O140:O170" si="80">N140*1000/(4*0.5*D*tnet_Saddle_Zick^2/6)</f>
        <v>#N/A</v>
      </c>
      <c r="P140" s="142" t="e">
        <f t="shared" ref="P140:P170" si="81">IF(Load_Case=2,ABS(((FA_EXP*D*0.5)/PI())*(COS(M140)+(0.5*M140*SIN(M140))-(1.5*SIN(Beta)/Beta)+(0.5*COS(Beta))-(0.25*(COS(M140)-SIN(Beta)/Beta))*(9-(4-6*(SIN(Beta)/Beta)^2 +(2*(COS(Beta))^2))/((SIN(Beta)/Beta)*COS(Beta)+1-(2*(SIN(Beta)/Beta)^2 ))))),NA())</f>
        <v>#N/A</v>
      </c>
      <c r="Q140" s="144" t="e">
        <f t="shared" ref="Q140:Q170" si="82">P140*1000/(4*0.5*D*tnet_Saddle_Zick^2/6)</f>
        <v>#N/A</v>
      </c>
    </row>
    <row r="141" spans="1:17" x14ac:dyDescent="0.25">
      <c r="A141" s="140" t="e">
        <f t="shared" ref="A141:A170" si="83">IF((A140+SaddleAngle_Increment)&gt;Maz_zick_saddleangle,NA(),A140+SaddleAngle_Increment)</f>
        <v>#N/A</v>
      </c>
      <c r="B141" s="135" t="e">
        <f t="shared" si="68"/>
        <v>#N/A</v>
      </c>
      <c r="C141" s="136" t="e">
        <f t="shared" si="69"/>
        <v>#N/A</v>
      </c>
      <c r="D141" s="61" t="e">
        <f t="shared" si="70"/>
        <v>#N/A</v>
      </c>
      <c r="E141" s="58" t="e">
        <f t="shared" si="71"/>
        <v>#N/A</v>
      </c>
      <c r="F141" s="58" t="e">
        <f t="shared" si="72"/>
        <v>#N/A</v>
      </c>
      <c r="G141" s="102" t="e">
        <f t="shared" si="73"/>
        <v>#N/A</v>
      </c>
      <c r="H141" s="61" t="e">
        <f t="shared" si="74"/>
        <v>#N/A</v>
      </c>
      <c r="I141" s="58">
        <f t="shared" si="75"/>
        <v>1.25</v>
      </c>
      <c r="J141" s="58">
        <f t="shared" si="76"/>
        <v>2.2249595143146381E-2</v>
      </c>
      <c r="K141" s="62" t="e">
        <f t="shared" si="77"/>
        <v>#N/A</v>
      </c>
      <c r="L141" s="22" t="e">
        <f t="shared" ref="L141:L170" si="84">IF((L140+1)&gt;Beta_Deg,NA(),L140+1)</f>
        <v>#N/A</v>
      </c>
      <c r="M141" s="22" t="e">
        <f t="shared" si="78"/>
        <v>#N/A</v>
      </c>
      <c r="N141" s="142" t="e">
        <f t="shared" si="79"/>
        <v>#N/A</v>
      </c>
      <c r="O141" s="144" t="e">
        <f t="shared" si="80"/>
        <v>#N/A</v>
      </c>
      <c r="P141" s="142" t="e">
        <f t="shared" si="81"/>
        <v>#N/A</v>
      </c>
      <c r="Q141" s="144" t="e">
        <f t="shared" si="82"/>
        <v>#N/A</v>
      </c>
    </row>
    <row r="142" spans="1:17" x14ac:dyDescent="0.25">
      <c r="A142" s="140" t="e">
        <f t="shared" si="83"/>
        <v>#N/A</v>
      </c>
      <c r="B142" s="135" t="e">
        <f t="shared" si="68"/>
        <v>#N/A</v>
      </c>
      <c r="C142" s="136" t="e">
        <f t="shared" si="69"/>
        <v>#N/A</v>
      </c>
      <c r="D142" s="61" t="e">
        <f t="shared" si="70"/>
        <v>#N/A</v>
      </c>
      <c r="E142" s="58" t="e">
        <f t="shared" si="71"/>
        <v>#N/A</v>
      </c>
      <c r="F142" s="58" t="e">
        <f t="shared" si="72"/>
        <v>#N/A</v>
      </c>
      <c r="G142" s="102" t="e">
        <f t="shared" si="73"/>
        <v>#N/A</v>
      </c>
      <c r="H142" s="61" t="e">
        <f t="shared" si="74"/>
        <v>#N/A</v>
      </c>
      <c r="I142" s="58">
        <f t="shared" si="75"/>
        <v>1.25</v>
      </c>
      <c r="J142" s="58">
        <f t="shared" si="76"/>
        <v>2.2249595143146381E-2</v>
      </c>
      <c r="K142" s="62" t="e">
        <f t="shared" si="77"/>
        <v>#N/A</v>
      </c>
      <c r="L142" s="22" t="e">
        <f t="shared" si="84"/>
        <v>#N/A</v>
      </c>
      <c r="M142" s="22" t="e">
        <f t="shared" si="78"/>
        <v>#N/A</v>
      </c>
      <c r="N142" s="142" t="e">
        <f t="shared" si="79"/>
        <v>#N/A</v>
      </c>
      <c r="O142" s="144" t="e">
        <f t="shared" si="80"/>
        <v>#N/A</v>
      </c>
      <c r="P142" s="142" t="e">
        <f t="shared" si="81"/>
        <v>#N/A</v>
      </c>
      <c r="Q142" s="144" t="e">
        <f t="shared" si="82"/>
        <v>#N/A</v>
      </c>
    </row>
    <row r="143" spans="1:17" x14ac:dyDescent="0.25">
      <c r="A143" s="140" t="e">
        <f t="shared" si="83"/>
        <v>#N/A</v>
      </c>
      <c r="B143" s="135" t="e">
        <f t="shared" si="68"/>
        <v>#N/A</v>
      </c>
      <c r="C143" s="136" t="e">
        <f t="shared" si="69"/>
        <v>#N/A</v>
      </c>
      <c r="D143" s="61" t="e">
        <f t="shared" si="70"/>
        <v>#N/A</v>
      </c>
      <c r="E143" s="58" t="e">
        <f t="shared" si="71"/>
        <v>#N/A</v>
      </c>
      <c r="F143" s="58" t="e">
        <f t="shared" si="72"/>
        <v>#N/A</v>
      </c>
      <c r="G143" s="102" t="e">
        <f t="shared" si="73"/>
        <v>#N/A</v>
      </c>
      <c r="H143" s="61" t="e">
        <f t="shared" si="74"/>
        <v>#N/A</v>
      </c>
      <c r="I143" s="58">
        <f t="shared" si="75"/>
        <v>1.25</v>
      </c>
      <c r="J143" s="58">
        <f t="shared" si="76"/>
        <v>2.2249595143146381E-2</v>
      </c>
      <c r="K143" s="62" t="e">
        <f t="shared" si="77"/>
        <v>#N/A</v>
      </c>
      <c r="L143" s="22" t="e">
        <f t="shared" si="84"/>
        <v>#N/A</v>
      </c>
      <c r="M143" s="22" t="e">
        <f t="shared" si="78"/>
        <v>#N/A</v>
      </c>
      <c r="N143" s="142" t="e">
        <f t="shared" si="79"/>
        <v>#N/A</v>
      </c>
      <c r="O143" s="144" t="e">
        <f t="shared" si="80"/>
        <v>#N/A</v>
      </c>
      <c r="P143" s="142" t="e">
        <f t="shared" si="81"/>
        <v>#N/A</v>
      </c>
      <c r="Q143" s="144" t="e">
        <f t="shared" si="82"/>
        <v>#N/A</v>
      </c>
    </row>
    <row r="144" spans="1:17" x14ac:dyDescent="0.25">
      <c r="A144" s="140" t="e">
        <f t="shared" si="83"/>
        <v>#N/A</v>
      </c>
      <c r="B144" s="135" t="e">
        <f t="shared" si="68"/>
        <v>#N/A</v>
      </c>
      <c r="C144" s="136" t="e">
        <f t="shared" si="69"/>
        <v>#N/A</v>
      </c>
      <c r="D144" s="61" t="e">
        <f t="shared" si="70"/>
        <v>#N/A</v>
      </c>
      <c r="E144" s="58" t="e">
        <f t="shared" si="71"/>
        <v>#N/A</v>
      </c>
      <c r="F144" s="58" t="e">
        <f t="shared" si="72"/>
        <v>#N/A</v>
      </c>
      <c r="G144" s="102" t="e">
        <f t="shared" si="73"/>
        <v>#N/A</v>
      </c>
      <c r="H144" s="61" t="e">
        <f t="shared" si="74"/>
        <v>#N/A</v>
      </c>
      <c r="I144" s="58">
        <f t="shared" si="75"/>
        <v>1.25</v>
      </c>
      <c r="J144" s="58">
        <f t="shared" si="76"/>
        <v>2.2249595143146381E-2</v>
      </c>
      <c r="K144" s="62" t="e">
        <f t="shared" si="77"/>
        <v>#N/A</v>
      </c>
      <c r="L144" s="22" t="e">
        <f t="shared" si="84"/>
        <v>#N/A</v>
      </c>
      <c r="M144" s="22" t="e">
        <f t="shared" si="78"/>
        <v>#N/A</v>
      </c>
      <c r="N144" s="142" t="e">
        <f t="shared" si="79"/>
        <v>#N/A</v>
      </c>
      <c r="O144" s="144" t="e">
        <f t="shared" si="80"/>
        <v>#N/A</v>
      </c>
      <c r="P144" s="142" t="e">
        <f t="shared" si="81"/>
        <v>#N/A</v>
      </c>
      <c r="Q144" s="144" t="e">
        <f t="shared" si="82"/>
        <v>#N/A</v>
      </c>
    </row>
    <row r="145" spans="1:17" x14ac:dyDescent="0.25">
      <c r="A145" s="140" t="e">
        <f t="shared" si="83"/>
        <v>#N/A</v>
      </c>
      <c r="B145" s="135" t="e">
        <f t="shared" si="68"/>
        <v>#N/A</v>
      </c>
      <c r="C145" s="136" t="e">
        <f t="shared" si="69"/>
        <v>#N/A</v>
      </c>
      <c r="D145" s="61" t="e">
        <f t="shared" si="70"/>
        <v>#N/A</v>
      </c>
      <c r="E145" s="58" t="e">
        <f t="shared" si="71"/>
        <v>#N/A</v>
      </c>
      <c r="F145" s="58" t="e">
        <f t="shared" si="72"/>
        <v>#N/A</v>
      </c>
      <c r="G145" s="102" t="e">
        <f t="shared" si="73"/>
        <v>#N/A</v>
      </c>
      <c r="H145" s="61" t="e">
        <f t="shared" si="74"/>
        <v>#N/A</v>
      </c>
      <c r="I145" s="58">
        <f t="shared" si="75"/>
        <v>1.25</v>
      </c>
      <c r="J145" s="58">
        <f t="shared" si="76"/>
        <v>2.2249595143146381E-2</v>
      </c>
      <c r="K145" s="62" t="e">
        <f t="shared" si="77"/>
        <v>#N/A</v>
      </c>
      <c r="L145" s="22" t="e">
        <f t="shared" si="84"/>
        <v>#N/A</v>
      </c>
      <c r="M145" s="22" t="e">
        <f t="shared" si="78"/>
        <v>#N/A</v>
      </c>
      <c r="N145" s="142" t="e">
        <f t="shared" si="79"/>
        <v>#N/A</v>
      </c>
      <c r="O145" s="144" t="e">
        <f t="shared" si="80"/>
        <v>#N/A</v>
      </c>
      <c r="P145" s="142" t="e">
        <f t="shared" si="81"/>
        <v>#N/A</v>
      </c>
      <c r="Q145" s="144" t="e">
        <f t="shared" si="82"/>
        <v>#N/A</v>
      </c>
    </row>
    <row r="146" spans="1:17" x14ac:dyDescent="0.25">
      <c r="A146" s="140" t="e">
        <f t="shared" si="83"/>
        <v>#N/A</v>
      </c>
      <c r="B146" s="135" t="e">
        <f t="shared" si="68"/>
        <v>#N/A</v>
      </c>
      <c r="C146" s="136" t="e">
        <f t="shared" si="69"/>
        <v>#N/A</v>
      </c>
      <c r="D146" s="61" t="e">
        <f t="shared" si="70"/>
        <v>#N/A</v>
      </c>
      <c r="E146" s="58" t="e">
        <f t="shared" si="71"/>
        <v>#N/A</v>
      </c>
      <c r="F146" s="58" t="e">
        <f t="shared" si="72"/>
        <v>#N/A</v>
      </c>
      <c r="G146" s="102" t="e">
        <f t="shared" si="73"/>
        <v>#N/A</v>
      </c>
      <c r="H146" s="61" t="e">
        <f t="shared" si="74"/>
        <v>#N/A</v>
      </c>
      <c r="I146" s="58">
        <f t="shared" si="75"/>
        <v>1.25</v>
      </c>
      <c r="J146" s="58">
        <f t="shared" si="76"/>
        <v>2.2249595143146381E-2</v>
      </c>
      <c r="K146" s="62" t="e">
        <f t="shared" si="77"/>
        <v>#N/A</v>
      </c>
      <c r="L146" s="22" t="e">
        <f t="shared" si="84"/>
        <v>#N/A</v>
      </c>
      <c r="M146" s="22" t="e">
        <f t="shared" si="78"/>
        <v>#N/A</v>
      </c>
      <c r="N146" s="142" t="e">
        <f t="shared" si="79"/>
        <v>#N/A</v>
      </c>
      <c r="O146" s="144" t="e">
        <f t="shared" si="80"/>
        <v>#N/A</v>
      </c>
      <c r="P146" s="142" t="e">
        <f t="shared" si="81"/>
        <v>#N/A</v>
      </c>
      <c r="Q146" s="144" t="e">
        <f t="shared" si="82"/>
        <v>#N/A</v>
      </c>
    </row>
    <row r="147" spans="1:17" x14ac:dyDescent="0.25">
      <c r="A147" s="140" t="e">
        <f t="shared" si="83"/>
        <v>#N/A</v>
      </c>
      <c r="B147" s="135" t="e">
        <f t="shared" si="68"/>
        <v>#N/A</v>
      </c>
      <c r="C147" s="136" t="e">
        <f t="shared" si="69"/>
        <v>#N/A</v>
      </c>
      <c r="D147" s="61" t="e">
        <f t="shared" si="70"/>
        <v>#N/A</v>
      </c>
      <c r="E147" s="58" t="e">
        <f t="shared" si="71"/>
        <v>#N/A</v>
      </c>
      <c r="F147" s="58" t="e">
        <f t="shared" si="72"/>
        <v>#N/A</v>
      </c>
      <c r="G147" s="102" t="e">
        <f t="shared" si="73"/>
        <v>#N/A</v>
      </c>
      <c r="H147" s="61" t="e">
        <f t="shared" si="74"/>
        <v>#N/A</v>
      </c>
      <c r="I147" s="58">
        <f t="shared" si="75"/>
        <v>1.25</v>
      </c>
      <c r="J147" s="58">
        <f t="shared" si="76"/>
        <v>2.2249595143146381E-2</v>
      </c>
      <c r="K147" s="62" t="e">
        <f t="shared" si="77"/>
        <v>#N/A</v>
      </c>
      <c r="L147" s="22" t="e">
        <f t="shared" si="84"/>
        <v>#N/A</v>
      </c>
      <c r="M147" s="22" t="e">
        <f t="shared" si="78"/>
        <v>#N/A</v>
      </c>
      <c r="N147" s="142" t="e">
        <f t="shared" si="79"/>
        <v>#N/A</v>
      </c>
      <c r="O147" s="144" t="e">
        <f t="shared" si="80"/>
        <v>#N/A</v>
      </c>
      <c r="P147" s="142" t="e">
        <f t="shared" si="81"/>
        <v>#N/A</v>
      </c>
      <c r="Q147" s="144" t="e">
        <f t="shared" si="82"/>
        <v>#N/A</v>
      </c>
    </row>
    <row r="148" spans="1:17" x14ac:dyDescent="0.25">
      <c r="A148" s="140" t="e">
        <f t="shared" si="83"/>
        <v>#N/A</v>
      </c>
      <c r="B148" s="135" t="e">
        <f t="shared" si="68"/>
        <v>#N/A</v>
      </c>
      <c r="C148" s="136" t="e">
        <f t="shared" si="69"/>
        <v>#N/A</v>
      </c>
      <c r="D148" s="61" t="e">
        <f t="shared" si="70"/>
        <v>#N/A</v>
      </c>
      <c r="E148" s="58" t="e">
        <f t="shared" si="71"/>
        <v>#N/A</v>
      </c>
      <c r="F148" s="58" t="e">
        <f t="shared" si="72"/>
        <v>#N/A</v>
      </c>
      <c r="G148" s="102" t="e">
        <f t="shared" si="73"/>
        <v>#N/A</v>
      </c>
      <c r="H148" s="61" t="e">
        <f t="shared" si="74"/>
        <v>#N/A</v>
      </c>
      <c r="I148" s="58">
        <f t="shared" si="75"/>
        <v>1.25</v>
      </c>
      <c r="J148" s="58">
        <f t="shared" si="76"/>
        <v>2.2249595143146381E-2</v>
      </c>
      <c r="K148" s="62" t="e">
        <f t="shared" si="77"/>
        <v>#N/A</v>
      </c>
      <c r="L148" s="22" t="e">
        <f t="shared" si="84"/>
        <v>#N/A</v>
      </c>
      <c r="M148" s="22" t="e">
        <f t="shared" si="78"/>
        <v>#N/A</v>
      </c>
      <c r="N148" s="142" t="e">
        <f t="shared" si="79"/>
        <v>#N/A</v>
      </c>
      <c r="O148" s="144" t="e">
        <f t="shared" si="80"/>
        <v>#N/A</v>
      </c>
      <c r="P148" s="142" t="e">
        <f t="shared" si="81"/>
        <v>#N/A</v>
      </c>
      <c r="Q148" s="144" t="e">
        <f t="shared" si="82"/>
        <v>#N/A</v>
      </c>
    </row>
    <row r="149" spans="1:17" x14ac:dyDescent="0.25">
      <c r="A149" s="140" t="e">
        <f t="shared" si="83"/>
        <v>#N/A</v>
      </c>
      <c r="B149" s="135" t="e">
        <f t="shared" si="68"/>
        <v>#N/A</v>
      </c>
      <c r="C149" s="136" t="e">
        <f t="shared" si="69"/>
        <v>#N/A</v>
      </c>
      <c r="D149" s="61" t="e">
        <f t="shared" si="70"/>
        <v>#N/A</v>
      </c>
      <c r="E149" s="58" t="e">
        <f t="shared" si="71"/>
        <v>#N/A</v>
      </c>
      <c r="F149" s="58" t="e">
        <f t="shared" si="72"/>
        <v>#N/A</v>
      </c>
      <c r="G149" s="102" t="e">
        <f t="shared" si="73"/>
        <v>#N/A</v>
      </c>
      <c r="H149" s="61" t="e">
        <f t="shared" si="74"/>
        <v>#N/A</v>
      </c>
      <c r="I149" s="58">
        <f t="shared" si="75"/>
        <v>1.25</v>
      </c>
      <c r="J149" s="58">
        <f t="shared" si="76"/>
        <v>2.2249595143146381E-2</v>
      </c>
      <c r="K149" s="62" t="e">
        <f t="shared" si="77"/>
        <v>#N/A</v>
      </c>
      <c r="L149" s="22" t="e">
        <f t="shared" si="84"/>
        <v>#N/A</v>
      </c>
      <c r="M149" s="22" t="e">
        <f t="shared" si="78"/>
        <v>#N/A</v>
      </c>
      <c r="N149" s="142" t="e">
        <f t="shared" si="79"/>
        <v>#N/A</v>
      </c>
      <c r="O149" s="144" t="e">
        <f t="shared" si="80"/>
        <v>#N/A</v>
      </c>
      <c r="P149" s="142" t="e">
        <f t="shared" si="81"/>
        <v>#N/A</v>
      </c>
      <c r="Q149" s="144" t="e">
        <f t="shared" si="82"/>
        <v>#N/A</v>
      </c>
    </row>
    <row r="150" spans="1:17" x14ac:dyDescent="0.25">
      <c r="A150" s="140" t="e">
        <f t="shared" si="83"/>
        <v>#N/A</v>
      </c>
      <c r="B150" s="135" t="e">
        <f t="shared" si="68"/>
        <v>#N/A</v>
      </c>
      <c r="C150" s="136" t="e">
        <f t="shared" si="69"/>
        <v>#N/A</v>
      </c>
      <c r="D150" s="61" t="e">
        <f t="shared" si="70"/>
        <v>#N/A</v>
      </c>
      <c r="E150" s="58" t="e">
        <f t="shared" si="71"/>
        <v>#N/A</v>
      </c>
      <c r="F150" s="58" t="e">
        <f t="shared" si="72"/>
        <v>#N/A</v>
      </c>
      <c r="G150" s="102" t="e">
        <f t="shared" si="73"/>
        <v>#N/A</v>
      </c>
      <c r="H150" s="61" t="e">
        <f t="shared" si="74"/>
        <v>#N/A</v>
      </c>
      <c r="I150" s="58">
        <f t="shared" si="75"/>
        <v>1.25</v>
      </c>
      <c r="J150" s="58">
        <f t="shared" si="76"/>
        <v>2.2249595143146381E-2</v>
      </c>
      <c r="K150" s="62" t="e">
        <f t="shared" si="77"/>
        <v>#N/A</v>
      </c>
      <c r="L150" s="22" t="e">
        <f t="shared" si="84"/>
        <v>#N/A</v>
      </c>
      <c r="M150" s="22" t="e">
        <f t="shared" si="78"/>
        <v>#N/A</v>
      </c>
      <c r="N150" s="142" t="e">
        <f t="shared" si="79"/>
        <v>#N/A</v>
      </c>
      <c r="O150" s="144" t="e">
        <f t="shared" si="80"/>
        <v>#N/A</v>
      </c>
      <c r="P150" s="142" t="e">
        <f t="shared" si="81"/>
        <v>#N/A</v>
      </c>
      <c r="Q150" s="144" t="e">
        <f t="shared" si="82"/>
        <v>#N/A</v>
      </c>
    </row>
    <row r="151" spans="1:17" x14ac:dyDescent="0.25">
      <c r="A151" s="140" t="e">
        <f t="shared" si="83"/>
        <v>#N/A</v>
      </c>
      <c r="B151" s="135" t="e">
        <f t="shared" si="68"/>
        <v>#N/A</v>
      </c>
      <c r="C151" s="136" t="e">
        <f t="shared" si="69"/>
        <v>#N/A</v>
      </c>
      <c r="D151" s="61" t="e">
        <f t="shared" si="70"/>
        <v>#N/A</v>
      </c>
      <c r="E151" s="58" t="e">
        <f t="shared" si="71"/>
        <v>#N/A</v>
      </c>
      <c r="F151" s="58" t="e">
        <f t="shared" si="72"/>
        <v>#N/A</v>
      </c>
      <c r="G151" s="102" t="e">
        <f t="shared" si="73"/>
        <v>#N/A</v>
      </c>
      <c r="H151" s="61" t="e">
        <f t="shared" si="74"/>
        <v>#N/A</v>
      </c>
      <c r="I151" s="58">
        <f t="shared" si="75"/>
        <v>1.25</v>
      </c>
      <c r="J151" s="58">
        <f t="shared" si="76"/>
        <v>2.2249595143146381E-2</v>
      </c>
      <c r="K151" s="62" t="e">
        <f t="shared" si="77"/>
        <v>#N/A</v>
      </c>
      <c r="L151" s="22" t="e">
        <f t="shared" si="84"/>
        <v>#N/A</v>
      </c>
      <c r="M151" s="22" t="e">
        <f t="shared" si="78"/>
        <v>#N/A</v>
      </c>
      <c r="N151" s="142" t="e">
        <f t="shared" si="79"/>
        <v>#N/A</v>
      </c>
      <c r="O151" s="144" t="e">
        <f t="shared" si="80"/>
        <v>#N/A</v>
      </c>
      <c r="P151" s="142" t="e">
        <f t="shared" si="81"/>
        <v>#N/A</v>
      </c>
      <c r="Q151" s="144" t="e">
        <f t="shared" si="82"/>
        <v>#N/A</v>
      </c>
    </row>
    <row r="152" spans="1:17" x14ac:dyDescent="0.25">
      <c r="A152" s="140" t="e">
        <f t="shared" si="83"/>
        <v>#N/A</v>
      </c>
      <c r="B152" s="135" t="e">
        <f t="shared" si="68"/>
        <v>#N/A</v>
      </c>
      <c r="C152" s="136" t="e">
        <f t="shared" si="69"/>
        <v>#N/A</v>
      </c>
      <c r="D152" s="61" t="e">
        <f t="shared" si="70"/>
        <v>#N/A</v>
      </c>
      <c r="E152" s="58" t="e">
        <f t="shared" si="71"/>
        <v>#N/A</v>
      </c>
      <c r="F152" s="58" t="e">
        <f t="shared" si="72"/>
        <v>#N/A</v>
      </c>
      <c r="G152" s="102" t="e">
        <f t="shared" si="73"/>
        <v>#N/A</v>
      </c>
      <c r="H152" s="61" t="e">
        <f t="shared" si="74"/>
        <v>#N/A</v>
      </c>
      <c r="I152" s="58">
        <f t="shared" si="75"/>
        <v>1.25</v>
      </c>
      <c r="J152" s="58">
        <f t="shared" si="76"/>
        <v>2.2249595143146381E-2</v>
      </c>
      <c r="K152" s="62" t="e">
        <f t="shared" si="77"/>
        <v>#N/A</v>
      </c>
      <c r="L152" s="22" t="e">
        <f t="shared" si="84"/>
        <v>#N/A</v>
      </c>
      <c r="M152" s="22" t="e">
        <f t="shared" si="78"/>
        <v>#N/A</v>
      </c>
      <c r="N152" s="142" t="e">
        <f t="shared" si="79"/>
        <v>#N/A</v>
      </c>
      <c r="O152" s="144" t="e">
        <f t="shared" si="80"/>
        <v>#N/A</v>
      </c>
      <c r="P152" s="142" t="e">
        <f t="shared" si="81"/>
        <v>#N/A</v>
      </c>
      <c r="Q152" s="144" t="e">
        <f t="shared" si="82"/>
        <v>#N/A</v>
      </c>
    </row>
    <row r="153" spans="1:17" x14ac:dyDescent="0.25">
      <c r="A153" s="140" t="e">
        <f t="shared" si="83"/>
        <v>#N/A</v>
      </c>
      <c r="B153" s="135" t="e">
        <f t="shared" si="68"/>
        <v>#N/A</v>
      </c>
      <c r="C153" s="136" t="e">
        <f t="shared" si="69"/>
        <v>#N/A</v>
      </c>
      <c r="D153" s="61" t="e">
        <f t="shared" si="70"/>
        <v>#N/A</v>
      </c>
      <c r="E153" s="58" t="e">
        <f t="shared" si="71"/>
        <v>#N/A</v>
      </c>
      <c r="F153" s="58" t="e">
        <f t="shared" si="72"/>
        <v>#N/A</v>
      </c>
      <c r="G153" s="102" t="e">
        <f t="shared" si="73"/>
        <v>#N/A</v>
      </c>
      <c r="H153" s="61" t="e">
        <f t="shared" si="74"/>
        <v>#N/A</v>
      </c>
      <c r="I153" s="58">
        <f t="shared" si="75"/>
        <v>1.25</v>
      </c>
      <c r="J153" s="58">
        <f t="shared" si="76"/>
        <v>2.2249595143146381E-2</v>
      </c>
      <c r="K153" s="62" t="e">
        <f t="shared" si="77"/>
        <v>#N/A</v>
      </c>
      <c r="L153" s="22" t="e">
        <f t="shared" si="84"/>
        <v>#N/A</v>
      </c>
      <c r="M153" s="22" t="e">
        <f t="shared" si="78"/>
        <v>#N/A</v>
      </c>
      <c r="N153" s="142" t="e">
        <f t="shared" si="79"/>
        <v>#N/A</v>
      </c>
      <c r="O153" s="144" t="e">
        <f t="shared" si="80"/>
        <v>#N/A</v>
      </c>
      <c r="P153" s="142" t="e">
        <f t="shared" si="81"/>
        <v>#N/A</v>
      </c>
      <c r="Q153" s="144" t="e">
        <f t="shared" si="82"/>
        <v>#N/A</v>
      </c>
    </row>
    <row r="154" spans="1:17" x14ac:dyDescent="0.25">
      <c r="A154" s="140" t="e">
        <f t="shared" si="83"/>
        <v>#N/A</v>
      </c>
      <c r="B154" s="135" t="e">
        <f t="shared" si="68"/>
        <v>#N/A</v>
      </c>
      <c r="C154" s="136" t="e">
        <f t="shared" si="69"/>
        <v>#N/A</v>
      </c>
      <c r="D154" s="61" t="e">
        <f t="shared" si="70"/>
        <v>#N/A</v>
      </c>
      <c r="E154" s="58" t="e">
        <f t="shared" si="71"/>
        <v>#N/A</v>
      </c>
      <c r="F154" s="58" t="e">
        <f t="shared" si="72"/>
        <v>#N/A</v>
      </c>
      <c r="G154" s="102" t="e">
        <f t="shared" si="73"/>
        <v>#N/A</v>
      </c>
      <c r="H154" s="61" t="e">
        <f t="shared" si="74"/>
        <v>#N/A</v>
      </c>
      <c r="I154" s="58">
        <f t="shared" si="75"/>
        <v>1.25</v>
      </c>
      <c r="J154" s="58">
        <f t="shared" si="76"/>
        <v>2.2249595143146381E-2</v>
      </c>
      <c r="K154" s="62" t="e">
        <f t="shared" si="77"/>
        <v>#N/A</v>
      </c>
      <c r="L154" s="22" t="e">
        <f t="shared" si="84"/>
        <v>#N/A</v>
      </c>
      <c r="M154" s="22" t="e">
        <f t="shared" si="78"/>
        <v>#N/A</v>
      </c>
      <c r="N154" s="142" t="e">
        <f t="shared" si="79"/>
        <v>#N/A</v>
      </c>
      <c r="O154" s="144" t="e">
        <f t="shared" si="80"/>
        <v>#N/A</v>
      </c>
      <c r="P154" s="142" t="e">
        <f t="shared" si="81"/>
        <v>#N/A</v>
      </c>
      <c r="Q154" s="144" t="e">
        <f t="shared" si="82"/>
        <v>#N/A</v>
      </c>
    </row>
    <row r="155" spans="1:17" x14ac:dyDescent="0.25">
      <c r="A155" s="140" t="e">
        <f t="shared" si="83"/>
        <v>#N/A</v>
      </c>
      <c r="B155" s="135" t="e">
        <f t="shared" si="68"/>
        <v>#N/A</v>
      </c>
      <c r="C155" s="136" t="e">
        <f t="shared" si="69"/>
        <v>#N/A</v>
      </c>
      <c r="D155" s="61" t="e">
        <f t="shared" si="70"/>
        <v>#N/A</v>
      </c>
      <c r="E155" s="58" t="e">
        <f t="shared" si="71"/>
        <v>#N/A</v>
      </c>
      <c r="F155" s="58" t="e">
        <f t="shared" si="72"/>
        <v>#N/A</v>
      </c>
      <c r="G155" s="102" t="e">
        <f t="shared" si="73"/>
        <v>#N/A</v>
      </c>
      <c r="H155" s="61" t="e">
        <f t="shared" si="74"/>
        <v>#N/A</v>
      </c>
      <c r="I155" s="58">
        <f t="shared" si="75"/>
        <v>1.25</v>
      </c>
      <c r="J155" s="58">
        <f t="shared" si="76"/>
        <v>2.2249595143146381E-2</v>
      </c>
      <c r="K155" s="62" t="e">
        <f t="shared" si="77"/>
        <v>#N/A</v>
      </c>
      <c r="L155" s="22" t="e">
        <f t="shared" si="84"/>
        <v>#N/A</v>
      </c>
      <c r="M155" s="22" t="e">
        <f t="shared" si="78"/>
        <v>#N/A</v>
      </c>
      <c r="N155" s="142" t="e">
        <f t="shared" si="79"/>
        <v>#N/A</v>
      </c>
      <c r="O155" s="144" t="e">
        <f t="shared" si="80"/>
        <v>#N/A</v>
      </c>
      <c r="P155" s="142" t="e">
        <f t="shared" si="81"/>
        <v>#N/A</v>
      </c>
      <c r="Q155" s="144" t="e">
        <f t="shared" si="82"/>
        <v>#N/A</v>
      </c>
    </row>
    <row r="156" spans="1:17" x14ac:dyDescent="0.25">
      <c r="A156" s="140" t="e">
        <f t="shared" si="83"/>
        <v>#N/A</v>
      </c>
      <c r="B156" s="135" t="e">
        <f t="shared" si="68"/>
        <v>#N/A</v>
      </c>
      <c r="C156" s="136" t="e">
        <f t="shared" si="69"/>
        <v>#N/A</v>
      </c>
      <c r="D156" s="61" t="e">
        <f t="shared" si="70"/>
        <v>#N/A</v>
      </c>
      <c r="E156" s="58" t="e">
        <f t="shared" si="71"/>
        <v>#N/A</v>
      </c>
      <c r="F156" s="58" t="e">
        <f t="shared" si="72"/>
        <v>#N/A</v>
      </c>
      <c r="G156" s="102" t="e">
        <f t="shared" si="73"/>
        <v>#N/A</v>
      </c>
      <c r="H156" s="61" t="e">
        <f t="shared" si="74"/>
        <v>#N/A</v>
      </c>
      <c r="I156" s="58">
        <f t="shared" si="75"/>
        <v>1.25</v>
      </c>
      <c r="J156" s="58">
        <f t="shared" si="76"/>
        <v>2.2249595143146381E-2</v>
      </c>
      <c r="K156" s="62" t="e">
        <f t="shared" si="77"/>
        <v>#N/A</v>
      </c>
      <c r="L156" s="22" t="e">
        <f t="shared" si="84"/>
        <v>#N/A</v>
      </c>
      <c r="M156" s="22" t="e">
        <f t="shared" si="78"/>
        <v>#N/A</v>
      </c>
      <c r="N156" s="142" t="e">
        <f t="shared" si="79"/>
        <v>#N/A</v>
      </c>
      <c r="O156" s="144" t="e">
        <f t="shared" si="80"/>
        <v>#N/A</v>
      </c>
      <c r="P156" s="142" t="e">
        <f t="shared" si="81"/>
        <v>#N/A</v>
      </c>
      <c r="Q156" s="144" t="e">
        <f t="shared" si="82"/>
        <v>#N/A</v>
      </c>
    </row>
    <row r="157" spans="1:17" x14ac:dyDescent="0.25">
      <c r="A157" s="140" t="e">
        <f t="shared" si="83"/>
        <v>#N/A</v>
      </c>
      <c r="B157" s="135" t="e">
        <f t="shared" si="68"/>
        <v>#N/A</v>
      </c>
      <c r="C157" s="136" t="e">
        <f t="shared" si="69"/>
        <v>#N/A</v>
      </c>
      <c r="D157" s="61" t="e">
        <f t="shared" si="70"/>
        <v>#N/A</v>
      </c>
      <c r="E157" s="58" t="e">
        <f t="shared" si="71"/>
        <v>#N/A</v>
      </c>
      <c r="F157" s="58" t="e">
        <f t="shared" si="72"/>
        <v>#N/A</v>
      </c>
      <c r="G157" s="102" t="e">
        <f t="shared" si="73"/>
        <v>#N/A</v>
      </c>
      <c r="H157" s="61" t="e">
        <f t="shared" si="74"/>
        <v>#N/A</v>
      </c>
      <c r="I157" s="58">
        <f t="shared" si="75"/>
        <v>1.25</v>
      </c>
      <c r="J157" s="58">
        <f t="shared" si="76"/>
        <v>2.2249595143146381E-2</v>
      </c>
      <c r="K157" s="62" t="e">
        <f t="shared" si="77"/>
        <v>#N/A</v>
      </c>
      <c r="L157" s="22" t="e">
        <f t="shared" si="84"/>
        <v>#N/A</v>
      </c>
      <c r="M157" s="22" t="e">
        <f t="shared" si="78"/>
        <v>#N/A</v>
      </c>
      <c r="N157" s="142" t="e">
        <f t="shared" si="79"/>
        <v>#N/A</v>
      </c>
      <c r="O157" s="144" t="e">
        <f t="shared" si="80"/>
        <v>#N/A</v>
      </c>
      <c r="P157" s="142" t="e">
        <f t="shared" si="81"/>
        <v>#N/A</v>
      </c>
      <c r="Q157" s="144" t="e">
        <f t="shared" si="82"/>
        <v>#N/A</v>
      </c>
    </row>
    <row r="158" spans="1:17" x14ac:dyDescent="0.25">
      <c r="A158" s="140" t="e">
        <f t="shared" si="83"/>
        <v>#N/A</v>
      </c>
      <c r="B158" s="135" t="e">
        <f t="shared" si="68"/>
        <v>#N/A</v>
      </c>
      <c r="C158" s="136" t="e">
        <f t="shared" si="69"/>
        <v>#N/A</v>
      </c>
      <c r="D158" s="61" t="e">
        <f t="shared" si="70"/>
        <v>#N/A</v>
      </c>
      <c r="E158" s="58" t="e">
        <f t="shared" si="71"/>
        <v>#N/A</v>
      </c>
      <c r="F158" s="58" t="e">
        <f t="shared" si="72"/>
        <v>#N/A</v>
      </c>
      <c r="G158" s="102" t="e">
        <f t="shared" si="73"/>
        <v>#N/A</v>
      </c>
      <c r="H158" s="61" t="e">
        <f t="shared" si="74"/>
        <v>#N/A</v>
      </c>
      <c r="I158" s="58">
        <f t="shared" si="75"/>
        <v>1.25</v>
      </c>
      <c r="J158" s="58">
        <f t="shared" si="76"/>
        <v>2.2249595143146381E-2</v>
      </c>
      <c r="K158" s="62" t="e">
        <f t="shared" si="77"/>
        <v>#N/A</v>
      </c>
      <c r="L158" s="22" t="e">
        <f t="shared" si="84"/>
        <v>#N/A</v>
      </c>
      <c r="M158" s="22" t="e">
        <f t="shared" si="78"/>
        <v>#N/A</v>
      </c>
      <c r="N158" s="142" t="e">
        <f t="shared" si="79"/>
        <v>#N/A</v>
      </c>
      <c r="O158" s="144" t="e">
        <f t="shared" si="80"/>
        <v>#N/A</v>
      </c>
      <c r="P158" s="142" t="e">
        <f t="shared" si="81"/>
        <v>#N/A</v>
      </c>
      <c r="Q158" s="144" t="e">
        <f t="shared" si="82"/>
        <v>#N/A</v>
      </c>
    </row>
    <row r="159" spans="1:17" x14ac:dyDescent="0.25">
      <c r="A159" s="140" t="e">
        <f t="shared" si="83"/>
        <v>#N/A</v>
      </c>
      <c r="B159" s="135" t="e">
        <f t="shared" si="68"/>
        <v>#N/A</v>
      </c>
      <c r="C159" s="136" t="e">
        <f t="shared" si="69"/>
        <v>#N/A</v>
      </c>
      <c r="D159" s="61" t="e">
        <f t="shared" si="70"/>
        <v>#N/A</v>
      </c>
      <c r="E159" s="58" t="e">
        <f t="shared" si="71"/>
        <v>#N/A</v>
      </c>
      <c r="F159" s="58" t="e">
        <f t="shared" si="72"/>
        <v>#N/A</v>
      </c>
      <c r="G159" s="102" t="e">
        <f t="shared" si="73"/>
        <v>#N/A</v>
      </c>
      <c r="H159" s="61" t="e">
        <f t="shared" si="74"/>
        <v>#N/A</v>
      </c>
      <c r="I159" s="58">
        <f t="shared" si="75"/>
        <v>1.25</v>
      </c>
      <c r="J159" s="58">
        <f t="shared" si="76"/>
        <v>2.2249595143146381E-2</v>
      </c>
      <c r="K159" s="62" t="e">
        <f t="shared" si="77"/>
        <v>#N/A</v>
      </c>
      <c r="L159" s="22" t="e">
        <f t="shared" si="84"/>
        <v>#N/A</v>
      </c>
      <c r="M159" s="22" t="e">
        <f t="shared" si="78"/>
        <v>#N/A</v>
      </c>
      <c r="N159" s="142" t="e">
        <f t="shared" si="79"/>
        <v>#N/A</v>
      </c>
      <c r="O159" s="144" t="e">
        <f t="shared" si="80"/>
        <v>#N/A</v>
      </c>
      <c r="P159" s="142" t="e">
        <f t="shared" si="81"/>
        <v>#N/A</v>
      </c>
      <c r="Q159" s="144" t="e">
        <f t="shared" si="82"/>
        <v>#N/A</v>
      </c>
    </row>
    <row r="160" spans="1:17" x14ac:dyDescent="0.25">
      <c r="A160" s="140" t="e">
        <f t="shared" si="83"/>
        <v>#N/A</v>
      </c>
      <c r="B160" s="135" t="e">
        <f t="shared" si="68"/>
        <v>#N/A</v>
      </c>
      <c r="C160" s="136" t="e">
        <f t="shared" si="69"/>
        <v>#N/A</v>
      </c>
      <c r="D160" s="61" t="e">
        <f t="shared" si="70"/>
        <v>#N/A</v>
      </c>
      <c r="E160" s="58" t="e">
        <f t="shared" si="71"/>
        <v>#N/A</v>
      </c>
      <c r="F160" s="58" t="e">
        <f t="shared" si="72"/>
        <v>#N/A</v>
      </c>
      <c r="G160" s="102" t="e">
        <f t="shared" si="73"/>
        <v>#N/A</v>
      </c>
      <c r="H160" s="61" t="e">
        <f t="shared" si="74"/>
        <v>#N/A</v>
      </c>
      <c r="I160" s="58">
        <f t="shared" si="75"/>
        <v>1.25</v>
      </c>
      <c r="J160" s="58">
        <f t="shared" si="76"/>
        <v>2.2249595143146381E-2</v>
      </c>
      <c r="K160" s="62" t="e">
        <f t="shared" si="77"/>
        <v>#N/A</v>
      </c>
      <c r="L160" s="22" t="e">
        <f t="shared" si="84"/>
        <v>#N/A</v>
      </c>
      <c r="M160" s="22" t="e">
        <f t="shared" si="78"/>
        <v>#N/A</v>
      </c>
      <c r="N160" s="142" t="e">
        <f t="shared" si="79"/>
        <v>#N/A</v>
      </c>
      <c r="O160" s="144" t="e">
        <f t="shared" si="80"/>
        <v>#N/A</v>
      </c>
      <c r="P160" s="142" t="e">
        <f t="shared" si="81"/>
        <v>#N/A</v>
      </c>
      <c r="Q160" s="144" t="e">
        <f t="shared" si="82"/>
        <v>#N/A</v>
      </c>
    </row>
    <row r="161" spans="1:17" x14ac:dyDescent="0.25">
      <c r="A161" s="140" t="e">
        <f t="shared" si="83"/>
        <v>#N/A</v>
      </c>
      <c r="B161" s="135" t="e">
        <f t="shared" si="68"/>
        <v>#N/A</v>
      </c>
      <c r="C161" s="136" t="e">
        <f t="shared" si="69"/>
        <v>#N/A</v>
      </c>
      <c r="D161" s="61" t="e">
        <f t="shared" si="70"/>
        <v>#N/A</v>
      </c>
      <c r="E161" s="58" t="e">
        <f t="shared" si="71"/>
        <v>#N/A</v>
      </c>
      <c r="F161" s="58" t="e">
        <f t="shared" si="72"/>
        <v>#N/A</v>
      </c>
      <c r="G161" s="102" t="e">
        <f t="shared" si="73"/>
        <v>#N/A</v>
      </c>
      <c r="H161" s="61" t="e">
        <f t="shared" si="74"/>
        <v>#N/A</v>
      </c>
      <c r="I161" s="58">
        <f t="shared" si="75"/>
        <v>1.25</v>
      </c>
      <c r="J161" s="58">
        <f t="shared" si="76"/>
        <v>2.2249595143146381E-2</v>
      </c>
      <c r="K161" s="62" t="e">
        <f t="shared" si="77"/>
        <v>#N/A</v>
      </c>
      <c r="L161" s="22" t="e">
        <f t="shared" si="84"/>
        <v>#N/A</v>
      </c>
      <c r="M161" s="22" t="e">
        <f t="shared" si="78"/>
        <v>#N/A</v>
      </c>
      <c r="N161" s="142" t="e">
        <f t="shared" si="79"/>
        <v>#N/A</v>
      </c>
      <c r="O161" s="144" t="e">
        <f t="shared" si="80"/>
        <v>#N/A</v>
      </c>
      <c r="P161" s="142" t="e">
        <f t="shared" si="81"/>
        <v>#N/A</v>
      </c>
      <c r="Q161" s="144" t="e">
        <f t="shared" si="82"/>
        <v>#N/A</v>
      </c>
    </row>
    <row r="162" spans="1:17" x14ac:dyDescent="0.25">
      <c r="A162" s="140" t="e">
        <f t="shared" si="83"/>
        <v>#N/A</v>
      </c>
      <c r="B162" s="135" t="e">
        <f t="shared" si="68"/>
        <v>#N/A</v>
      </c>
      <c r="C162" s="136" t="e">
        <f t="shared" si="69"/>
        <v>#N/A</v>
      </c>
      <c r="D162" s="61" t="e">
        <f t="shared" si="70"/>
        <v>#N/A</v>
      </c>
      <c r="E162" s="58" t="e">
        <f t="shared" si="71"/>
        <v>#N/A</v>
      </c>
      <c r="F162" s="58" t="e">
        <f t="shared" si="72"/>
        <v>#N/A</v>
      </c>
      <c r="G162" s="102" t="e">
        <f t="shared" si="73"/>
        <v>#N/A</v>
      </c>
      <c r="H162" s="61" t="e">
        <f t="shared" si="74"/>
        <v>#N/A</v>
      </c>
      <c r="I162" s="58">
        <f t="shared" si="75"/>
        <v>1.25</v>
      </c>
      <c r="J162" s="58">
        <f t="shared" si="76"/>
        <v>2.2249595143146381E-2</v>
      </c>
      <c r="K162" s="62" t="e">
        <f t="shared" si="77"/>
        <v>#N/A</v>
      </c>
      <c r="L162" s="22" t="e">
        <f t="shared" si="84"/>
        <v>#N/A</v>
      </c>
      <c r="M162" s="22" t="e">
        <f t="shared" si="78"/>
        <v>#N/A</v>
      </c>
      <c r="N162" s="142" t="e">
        <f t="shared" si="79"/>
        <v>#N/A</v>
      </c>
      <c r="O162" s="144" t="e">
        <f t="shared" si="80"/>
        <v>#N/A</v>
      </c>
      <c r="P162" s="142" t="e">
        <f t="shared" si="81"/>
        <v>#N/A</v>
      </c>
      <c r="Q162" s="144" t="e">
        <f t="shared" si="82"/>
        <v>#N/A</v>
      </c>
    </row>
    <row r="163" spans="1:17" x14ac:dyDescent="0.25">
      <c r="A163" s="140" t="e">
        <f t="shared" si="83"/>
        <v>#N/A</v>
      </c>
      <c r="B163" s="135" t="e">
        <f t="shared" si="68"/>
        <v>#N/A</v>
      </c>
      <c r="C163" s="136" t="e">
        <f t="shared" si="69"/>
        <v>#N/A</v>
      </c>
      <c r="D163" s="61" t="e">
        <f t="shared" si="70"/>
        <v>#N/A</v>
      </c>
      <c r="E163" s="58" t="e">
        <f t="shared" si="71"/>
        <v>#N/A</v>
      </c>
      <c r="F163" s="58" t="e">
        <f t="shared" si="72"/>
        <v>#N/A</v>
      </c>
      <c r="G163" s="102" t="e">
        <f t="shared" si="73"/>
        <v>#N/A</v>
      </c>
      <c r="H163" s="61" t="e">
        <f t="shared" si="74"/>
        <v>#N/A</v>
      </c>
      <c r="I163" s="58">
        <f t="shared" si="75"/>
        <v>1.25</v>
      </c>
      <c r="J163" s="58">
        <f t="shared" si="76"/>
        <v>2.2249595143146381E-2</v>
      </c>
      <c r="K163" s="62" t="e">
        <f t="shared" si="77"/>
        <v>#N/A</v>
      </c>
      <c r="L163" s="22" t="e">
        <f t="shared" si="84"/>
        <v>#N/A</v>
      </c>
      <c r="M163" s="22" t="e">
        <f t="shared" si="78"/>
        <v>#N/A</v>
      </c>
      <c r="N163" s="142" t="e">
        <f t="shared" si="79"/>
        <v>#N/A</v>
      </c>
      <c r="O163" s="144" t="e">
        <f t="shared" si="80"/>
        <v>#N/A</v>
      </c>
      <c r="P163" s="142" t="e">
        <f t="shared" si="81"/>
        <v>#N/A</v>
      </c>
      <c r="Q163" s="144" t="e">
        <f t="shared" si="82"/>
        <v>#N/A</v>
      </c>
    </row>
    <row r="164" spans="1:17" x14ac:dyDescent="0.25">
      <c r="A164" s="140" t="e">
        <f t="shared" si="83"/>
        <v>#N/A</v>
      </c>
      <c r="B164" s="135" t="e">
        <f t="shared" si="68"/>
        <v>#N/A</v>
      </c>
      <c r="C164" s="136" t="e">
        <f t="shared" si="69"/>
        <v>#N/A</v>
      </c>
      <c r="D164" s="61" t="e">
        <f t="shared" si="70"/>
        <v>#N/A</v>
      </c>
      <c r="E164" s="58" t="e">
        <f t="shared" si="71"/>
        <v>#N/A</v>
      </c>
      <c r="F164" s="58" t="e">
        <f t="shared" si="72"/>
        <v>#N/A</v>
      </c>
      <c r="G164" s="102" t="e">
        <f t="shared" si="73"/>
        <v>#N/A</v>
      </c>
      <c r="H164" s="61" t="e">
        <f t="shared" si="74"/>
        <v>#N/A</v>
      </c>
      <c r="I164" s="58">
        <f t="shared" si="75"/>
        <v>1.25</v>
      </c>
      <c r="J164" s="58">
        <f t="shared" si="76"/>
        <v>2.2249595143146381E-2</v>
      </c>
      <c r="K164" s="62" t="e">
        <f t="shared" si="77"/>
        <v>#N/A</v>
      </c>
      <c r="L164" s="22" t="e">
        <f t="shared" si="84"/>
        <v>#N/A</v>
      </c>
      <c r="M164" s="22" t="e">
        <f t="shared" si="78"/>
        <v>#N/A</v>
      </c>
      <c r="N164" s="142" t="e">
        <f t="shared" si="79"/>
        <v>#N/A</v>
      </c>
      <c r="O164" s="144" t="e">
        <f t="shared" si="80"/>
        <v>#N/A</v>
      </c>
      <c r="P164" s="142" t="e">
        <f t="shared" si="81"/>
        <v>#N/A</v>
      </c>
      <c r="Q164" s="144" t="e">
        <f t="shared" si="82"/>
        <v>#N/A</v>
      </c>
    </row>
    <row r="165" spans="1:17" x14ac:dyDescent="0.25">
      <c r="A165" s="140" t="e">
        <f t="shared" si="83"/>
        <v>#N/A</v>
      </c>
      <c r="B165" s="135" t="e">
        <f t="shared" si="68"/>
        <v>#N/A</v>
      </c>
      <c r="C165" s="136" t="e">
        <f t="shared" si="69"/>
        <v>#N/A</v>
      </c>
      <c r="D165" s="61" t="e">
        <f t="shared" si="70"/>
        <v>#N/A</v>
      </c>
      <c r="E165" s="58" t="e">
        <f t="shared" si="71"/>
        <v>#N/A</v>
      </c>
      <c r="F165" s="58" t="e">
        <f t="shared" si="72"/>
        <v>#N/A</v>
      </c>
      <c r="G165" s="102" t="e">
        <f t="shared" si="73"/>
        <v>#N/A</v>
      </c>
      <c r="H165" s="61" t="e">
        <f t="shared" si="74"/>
        <v>#N/A</v>
      </c>
      <c r="I165" s="58">
        <f t="shared" si="75"/>
        <v>1.25</v>
      </c>
      <c r="J165" s="58">
        <f t="shared" si="76"/>
        <v>2.2249595143146381E-2</v>
      </c>
      <c r="K165" s="62" t="e">
        <f t="shared" si="77"/>
        <v>#N/A</v>
      </c>
      <c r="L165" s="22" t="e">
        <f t="shared" si="84"/>
        <v>#N/A</v>
      </c>
      <c r="M165" s="22" t="e">
        <f t="shared" si="78"/>
        <v>#N/A</v>
      </c>
      <c r="N165" s="142" t="e">
        <f t="shared" si="79"/>
        <v>#N/A</v>
      </c>
      <c r="O165" s="144" t="e">
        <f t="shared" si="80"/>
        <v>#N/A</v>
      </c>
      <c r="P165" s="142" t="e">
        <f t="shared" si="81"/>
        <v>#N/A</v>
      </c>
      <c r="Q165" s="144" t="e">
        <f t="shared" si="82"/>
        <v>#N/A</v>
      </c>
    </row>
    <row r="166" spans="1:17" x14ac:dyDescent="0.25">
      <c r="A166" s="140" t="e">
        <f t="shared" si="83"/>
        <v>#N/A</v>
      </c>
      <c r="B166" s="135" t="e">
        <f t="shared" si="68"/>
        <v>#N/A</v>
      </c>
      <c r="C166" s="136" t="e">
        <f t="shared" si="69"/>
        <v>#N/A</v>
      </c>
      <c r="D166" s="61" t="e">
        <f t="shared" si="70"/>
        <v>#N/A</v>
      </c>
      <c r="E166" s="58" t="e">
        <f t="shared" si="71"/>
        <v>#N/A</v>
      </c>
      <c r="F166" s="58" t="e">
        <f t="shared" si="72"/>
        <v>#N/A</v>
      </c>
      <c r="G166" s="102" t="e">
        <f t="shared" si="73"/>
        <v>#N/A</v>
      </c>
      <c r="H166" s="61" t="e">
        <f t="shared" si="74"/>
        <v>#N/A</v>
      </c>
      <c r="I166" s="58">
        <f t="shared" si="75"/>
        <v>1.25</v>
      </c>
      <c r="J166" s="58">
        <f t="shared" si="76"/>
        <v>2.2249595143146381E-2</v>
      </c>
      <c r="K166" s="62" t="e">
        <f t="shared" si="77"/>
        <v>#N/A</v>
      </c>
      <c r="L166" s="22" t="e">
        <f t="shared" si="84"/>
        <v>#N/A</v>
      </c>
      <c r="M166" s="22" t="e">
        <f t="shared" si="78"/>
        <v>#N/A</v>
      </c>
      <c r="N166" s="142" t="e">
        <f t="shared" si="79"/>
        <v>#N/A</v>
      </c>
      <c r="O166" s="144" t="e">
        <f t="shared" si="80"/>
        <v>#N/A</v>
      </c>
      <c r="P166" s="142" t="e">
        <f t="shared" si="81"/>
        <v>#N/A</v>
      </c>
      <c r="Q166" s="144" t="e">
        <f t="shared" si="82"/>
        <v>#N/A</v>
      </c>
    </row>
    <row r="167" spans="1:17" x14ac:dyDescent="0.25">
      <c r="A167" s="140" t="e">
        <f t="shared" si="83"/>
        <v>#N/A</v>
      </c>
      <c r="B167" s="135" t="e">
        <f t="shared" si="68"/>
        <v>#N/A</v>
      </c>
      <c r="C167" s="136" t="e">
        <f t="shared" si="69"/>
        <v>#N/A</v>
      </c>
      <c r="D167" s="61" t="e">
        <f t="shared" si="70"/>
        <v>#N/A</v>
      </c>
      <c r="E167" s="58" t="e">
        <f t="shared" si="71"/>
        <v>#N/A</v>
      </c>
      <c r="F167" s="58" t="e">
        <f t="shared" si="72"/>
        <v>#N/A</v>
      </c>
      <c r="G167" s="102" t="e">
        <f t="shared" si="73"/>
        <v>#N/A</v>
      </c>
      <c r="H167" s="61" t="e">
        <f t="shared" si="74"/>
        <v>#N/A</v>
      </c>
      <c r="I167" s="58">
        <f t="shared" si="75"/>
        <v>1.25</v>
      </c>
      <c r="J167" s="58">
        <f t="shared" si="76"/>
        <v>2.2249595143146381E-2</v>
      </c>
      <c r="K167" s="62" t="e">
        <f t="shared" si="77"/>
        <v>#N/A</v>
      </c>
      <c r="L167" s="22" t="e">
        <f t="shared" si="84"/>
        <v>#N/A</v>
      </c>
      <c r="M167" s="22" t="e">
        <f t="shared" si="78"/>
        <v>#N/A</v>
      </c>
      <c r="N167" s="142" t="e">
        <f t="shared" si="79"/>
        <v>#N/A</v>
      </c>
      <c r="O167" s="144" t="e">
        <f t="shared" si="80"/>
        <v>#N/A</v>
      </c>
      <c r="P167" s="142" t="e">
        <f t="shared" si="81"/>
        <v>#N/A</v>
      </c>
      <c r="Q167" s="144" t="e">
        <f t="shared" si="82"/>
        <v>#N/A</v>
      </c>
    </row>
    <row r="168" spans="1:17" x14ac:dyDescent="0.25">
      <c r="A168" s="140" t="e">
        <f t="shared" si="83"/>
        <v>#N/A</v>
      </c>
      <c r="B168" s="135" t="e">
        <f t="shared" si="68"/>
        <v>#N/A</v>
      </c>
      <c r="C168" s="136" t="e">
        <f t="shared" si="69"/>
        <v>#N/A</v>
      </c>
      <c r="D168" s="61" t="e">
        <f t="shared" si="70"/>
        <v>#N/A</v>
      </c>
      <c r="E168" s="58" t="e">
        <f t="shared" si="71"/>
        <v>#N/A</v>
      </c>
      <c r="F168" s="58" t="e">
        <f t="shared" si="72"/>
        <v>#N/A</v>
      </c>
      <c r="G168" s="102" t="e">
        <f t="shared" si="73"/>
        <v>#N/A</v>
      </c>
      <c r="H168" s="61" t="e">
        <f t="shared" si="74"/>
        <v>#N/A</v>
      </c>
      <c r="I168" s="58">
        <f t="shared" si="75"/>
        <v>1.25</v>
      </c>
      <c r="J168" s="58">
        <f t="shared" si="76"/>
        <v>2.2249595143146381E-2</v>
      </c>
      <c r="K168" s="62" t="e">
        <f t="shared" si="77"/>
        <v>#N/A</v>
      </c>
      <c r="L168" s="22" t="e">
        <f t="shared" si="84"/>
        <v>#N/A</v>
      </c>
      <c r="M168" s="22" t="e">
        <f t="shared" si="78"/>
        <v>#N/A</v>
      </c>
      <c r="N168" s="142" t="e">
        <f t="shared" si="79"/>
        <v>#N/A</v>
      </c>
      <c r="O168" s="144" t="e">
        <f t="shared" si="80"/>
        <v>#N/A</v>
      </c>
      <c r="P168" s="142" t="e">
        <f t="shared" si="81"/>
        <v>#N/A</v>
      </c>
      <c r="Q168" s="144" t="e">
        <f t="shared" si="82"/>
        <v>#N/A</v>
      </c>
    </row>
    <row r="169" spans="1:17" x14ac:dyDescent="0.25">
      <c r="A169" s="140" t="e">
        <f t="shared" si="83"/>
        <v>#N/A</v>
      </c>
      <c r="B169" s="135" t="e">
        <f t="shared" si="68"/>
        <v>#N/A</v>
      </c>
      <c r="C169" s="136" t="e">
        <f t="shared" si="69"/>
        <v>#N/A</v>
      </c>
      <c r="D169" s="61" t="e">
        <f t="shared" si="70"/>
        <v>#N/A</v>
      </c>
      <c r="E169" s="58" t="e">
        <f t="shared" si="71"/>
        <v>#N/A</v>
      </c>
      <c r="F169" s="58" t="e">
        <f t="shared" si="72"/>
        <v>#N/A</v>
      </c>
      <c r="G169" s="102" t="e">
        <f t="shared" si="73"/>
        <v>#N/A</v>
      </c>
      <c r="H169" s="61" t="e">
        <f t="shared" si="74"/>
        <v>#N/A</v>
      </c>
      <c r="I169" s="58">
        <f t="shared" si="75"/>
        <v>1.25</v>
      </c>
      <c r="J169" s="58">
        <f t="shared" si="76"/>
        <v>2.2249595143146381E-2</v>
      </c>
      <c r="K169" s="62" t="e">
        <f t="shared" si="77"/>
        <v>#N/A</v>
      </c>
      <c r="L169" s="22" t="e">
        <f t="shared" si="84"/>
        <v>#N/A</v>
      </c>
      <c r="M169" s="22" t="e">
        <f t="shared" si="78"/>
        <v>#N/A</v>
      </c>
      <c r="N169" s="142" t="e">
        <f t="shared" si="79"/>
        <v>#N/A</v>
      </c>
      <c r="O169" s="144" t="e">
        <f t="shared" si="80"/>
        <v>#N/A</v>
      </c>
      <c r="P169" s="142" t="e">
        <f t="shared" si="81"/>
        <v>#N/A</v>
      </c>
      <c r="Q169" s="144" t="e">
        <f t="shared" si="82"/>
        <v>#N/A</v>
      </c>
    </row>
    <row r="170" spans="1:17" x14ac:dyDescent="0.25">
      <c r="A170" s="140" t="e">
        <f t="shared" si="83"/>
        <v>#N/A</v>
      </c>
      <c r="B170" s="135" t="e">
        <f t="shared" si="68"/>
        <v>#N/A</v>
      </c>
      <c r="C170" s="136" t="e">
        <f t="shared" si="69"/>
        <v>#N/A</v>
      </c>
      <c r="D170" s="61" t="e">
        <f t="shared" si="70"/>
        <v>#N/A</v>
      </c>
      <c r="E170" s="58" t="e">
        <f t="shared" si="71"/>
        <v>#N/A</v>
      </c>
      <c r="F170" s="58" t="e">
        <f t="shared" si="72"/>
        <v>#N/A</v>
      </c>
      <c r="G170" s="102" t="e">
        <f t="shared" si="73"/>
        <v>#N/A</v>
      </c>
      <c r="H170" s="61" t="e">
        <f t="shared" si="74"/>
        <v>#N/A</v>
      </c>
      <c r="I170" s="58">
        <f t="shared" si="75"/>
        <v>1.25</v>
      </c>
      <c r="J170" s="58">
        <f t="shared" si="76"/>
        <v>2.2249595143146381E-2</v>
      </c>
      <c r="K170" s="62" t="e">
        <f t="shared" si="77"/>
        <v>#N/A</v>
      </c>
      <c r="L170" s="22" t="e">
        <f t="shared" si="84"/>
        <v>#N/A</v>
      </c>
      <c r="M170" s="22" t="e">
        <f t="shared" si="78"/>
        <v>#N/A</v>
      </c>
      <c r="N170" s="142" t="e">
        <f t="shared" si="79"/>
        <v>#N/A</v>
      </c>
      <c r="O170" s="144" t="e">
        <f t="shared" si="80"/>
        <v>#N/A</v>
      </c>
      <c r="P170" s="142" t="e">
        <f t="shared" si="81"/>
        <v>#N/A</v>
      </c>
      <c r="Q170" s="144" t="e">
        <f t="shared" si="82"/>
        <v>#N/A</v>
      </c>
    </row>
  </sheetData>
  <mergeCells count="10">
    <mergeCell ref="S1:V1"/>
    <mergeCell ref="S9:U9"/>
    <mergeCell ref="D1:G1"/>
    <mergeCell ref="H1:K1"/>
    <mergeCell ref="P10:Q10"/>
    <mergeCell ref="N10:O10"/>
    <mergeCell ref="H10:K10"/>
    <mergeCell ref="B7:D7"/>
    <mergeCell ref="B9:D9"/>
    <mergeCell ref="D10:G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G158" sqref="G158:G160"/>
    </sheetView>
  </sheetViews>
  <sheetFormatPr defaultRowHeight="15" x14ac:dyDescent="0.25"/>
  <cols>
    <col min="1" max="1" width="10.42578125" bestFit="1" customWidth="1"/>
    <col min="2" max="2" width="28.28515625" customWidth="1"/>
  </cols>
  <sheetData>
    <row r="1" spans="1:10" x14ac:dyDescent="0.25">
      <c r="A1" s="64" t="s">
        <v>60</v>
      </c>
      <c r="B1" s="64">
        <f>PI()/180</f>
        <v>1.7453292519943295E-2</v>
      </c>
      <c r="C1" s="64"/>
    </row>
    <row r="2" spans="1:10" x14ac:dyDescent="0.25">
      <c r="A2" s="64" t="s">
        <v>106</v>
      </c>
      <c r="B2" s="64">
        <f>0.02-0.00012*(Saddle_Angle_Roark-90)</f>
        <v>1.6400000000000001E-2</v>
      </c>
      <c r="C2" s="64"/>
    </row>
    <row r="3" spans="1:10" x14ac:dyDescent="0.25">
      <c r="A3" s="64" t="s">
        <v>108</v>
      </c>
      <c r="B3" s="64">
        <f>((T*(1-0.01*MT)-Corr))+TP_Saddle_Roark</f>
        <v>13.734375</v>
      </c>
      <c r="C3" s="64"/>
    </row>
    <row r="4" spans="1:10" x14ac:dyDescent="0.25">
      <c r="B4" s="33" t="s">
        <v>196</v>
      </c>
      <c r="C4" s="33" t="s">
        <v>197</v>
      </c>
      <c r="D4" s="33"/>
    </row>
    <row r="5" spans="1:10" x14ac:dyDescent="0.25">
      <c r="A5" s="15" t="s">
        <v>107</v>
      </c>
      <c r="B5">
        <f>(B2*FA_SUS*1000*LN((0.5*D)/Tnet_Saddle_Roak)*0.000001)/((Tnet_Saddle_Roak*0.001)^2)</f>
        <v>1.3474829560875139</v>
      </c>
      <c r="C5">
        <f>(B2*FA_EXP*1000*LN((0.5*D)/Tnet_Saddle_Roak)*0.000001)/((Tnet_Saddle_Roak*0.001)^2)</f>
        <v>1.3474829560875139</v>
      </c>
    </row>
    <row r="6" spans="1:10" x14ac:dyDescent="0.25">
      <c r="J6">
        <f>Saddle_Angle_Roark</f>
        <v>120</v>
      </c>
    </row>
    <row r="7" spans="1:10" ht="15.75" thickBot="1" x14ac:dyDescent="0.3"/>
    <row r="8" spans="1:10" ht="15.75" thickBot="1" x14ac:dyDescent="0.3">
      <c r="A8" s="554" t="s">
        <v>107</v>
      </c>
      <c r="B8" s="452">
        <f>MAX(ABS(Max_SC_Rork_SUS),ABS(Max_SC_Rork_EXP))</f>
        <v>1.3474829560875139</v>
      </c>
      <c r="C8" s="556"/>
      <c r="D8" s="557"/>
      <c r="E8" s="64"/>
    </row>
    <row r="9" spans="1:10" ht="15.75" thickBot="1" x14ac:dyDescent="0.3">
      <c r="A9" s="555"/>
      <c r="B9" s="454"/>
      <c r="C9" s="558"/>
      <c r="D9" s="559"/>
      <c r="E9" s="54">
        <f>B8</f>
        <v>1.3474829560875139</v>
      </c>
    </row>
  </sheetData>
  <mergeCells count="2">
    <mergeCell ref="A8:A9"/>
    <mergeCell ref="B8:D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141</vt:i4>
      </vt:variant>
    </vt:vector>
  </HeadingPairs>
  <TitlesOfParts>
    <vt:vector size="153" baseType="lpstr">
      <vt:lpstr>MainPage</vt:lpstr>
      <vt:lpstr>Von_Mises</vt:lpstr>
      <vt:lpstr>Sheet1</vt:lpstr>
      <vt:lpstr>Trunnion</vt:lpstr>
      <vt:lpstr>Structure A</vt:lpstr>
      <vt:lpstr>Structure B</vt:lpstr>
      <vt:lpstr>Structure C</vt:lpstr>
      <vt:lpstr>Saddle_Zick</vt:lpstr>
      <vt:lpstr>Saddle Roak</vt:lpstr>
      <vt:lpstr>Bare Pipe_Roark</vt:lpstr>
      <vt:lpstr>Bare Pipe_combination</vt:lpstr>
      <vt:lpstr>Saddle_zick Validation</vt:lpstr>
      <vt:lpstr>B_STRB</vt:lpstr>
      <vt:lpstr>B_STRB_Increment</vt:lpstr>
      <vt:lpstr>BareAngle_at_B_Roark</vt:lpstr>
      <vt:lpstr>BareAngle_at_B_Roark_Rad</vt:lpstr>
      <vt:lpstr>beff_Bare_Roark</vt:lpstr>
      <vt:lpstr>Bet</vt:lpstr>
      <vt:lpstr>Beta</vt:lpstr>
      <vt:lpstr>Beta_Deg</vt:lpstr>
      <vt:lpstr>BetaA</vt:lpstr>
      <vt:lpstr>Corr</vt:lpstr>
      <vt:lpstr>D</vt:lpstr>
      <vt:lpstr>d_Trunion</vt:lpstr>
      <vt:lpstr>d_Trunnion_Increment</vt:lpstr>
      <vt:lpstr>Deg_to_Rad</vt:lpstr>
      <vt:lpstr>FA_EXP</vt:lpstr>
      <vt:lpstr>FA_SUS</vt:lpstr>
      <vt:lpstr>FC_EXP</vt:lpstr>
      <vt:lpstr>FC_SUS</vt:lpstr>
      <vt:lpstr>FL_EXP</vt:lpstr>
      <vt:lpstr>FL_SUS</vt:lpstr>
      <vt:lpstr>H_STRA</vt:lpstr>
      <vt:lpstr>H_STRB</vt:lpstr>
      <vt:lpstr>H_STRC</vt:lpstr>
      <vt:lpstr>H_Trunnion</vt:lpstr>
      <vt:lpstr>L_STRA</vt:lpstr>
      <vt:lpstr>L_STRA_Increment</vt:lpstr>
      <vt:lpstr>L_STRB</vt:lpstr>
      <vt:lpstr>L_STRC</vt:lpstr>
      <vt:lpstr>Load_Case</vt:lpstr>
      <vt:lpstr>M</vt:lpstr>
      <vt:lpstr>Max_SC_bend_BareComb_exp</vt:lpstr>
      <vt:lpstr>Max_SC_bend_BareComb_SUS</vt:lpstr>
      <vt:lpstr>Max_SC_bend_BareRoark_EXP</vt:lpstr>
      <vt:lpstr>Max_SC_bend_BareRoark_SUS</vt:lpstr>
      <vt:lpstr>Max_SC_bending_ZICK_EXP</vt:lpstr>
      <vt:lpstr>Max_SC_bending_ZICK_SUS</vt:lpstr>
      <vt:lpstr>Max_SC_mem_BareComb_EXP</vt:lpstr>
      <vt:lpstr>Max_SC_mem_BareComb_SUS</vt:lpstr>
      <vt:lpstr>Max_SC_mem_BareRoark_EXP</vt:lpstr>
      <vt:lpstr>Max_SC_mem_BareRoark_SUS</vt:lpstr>
      <vt:lpstr>Max_SC_membrane_ZICK_EXP</vt:lpstr>
      <vt:lpstr>Max_SC_membrane_ZICK_SUS</vt:lpstr>
      <vt:lpstr>Max_SC_Rork_EXP</vt:lpstr>
      <vt:lpstr>Max_SC_Rork_SUS</vt:lpstr>
      <vt:lpstr>Max_SC_STRUCTUREA_EXP</vt:lpstr>
      <vt:lpstr>Max_SC_STRUCTUREA_SUS</vt:lpstr>
      <vt:lpstr>Max_SC_STRUCTUREB_EXP</vt:lpstr>
      <vt:lpstr>Max_SC_STRUCTUREB_SUS</vt:lpstr>
      <vt:lpstr>Max_SC_STRUCTUREC_EXP</vt:lpstr>
      <vt:lpstr>Max_SC_STRUCTUREC_SUS</vt:lpstr>
      <vt:lpstr>Max_SC_TRUNNION_EXP</vt:lpstr>
      <vt:lpstr>Max_SC_TRUNNION_SUS</vt:lpstr>
      <vt:lpstr>Max_SL_STRUCTUREA_EXP</vt:lpstr>
      <vt:lpstr>Max_SL_STRUCTUREA_SUS</vt:lpstr>
      <vt:lpstr>Max_SL_STRUCTUREB_EXP</vt:lpstr>
      <vt:lpstr>Max_SL_STRUCTUREB_SUS</vt:lpstr>
      <vt:lpstr>Max_SL_STRUCTUREC_EXP</vt:lpstr>
      <vt:lpstr>Max_SL_STRUCTUREC_SUS</vt:lpstr>
      <vt:lpstr>Max_SL_TRUNNION_EXP</vt:lpstr>
      <vt:lpstr>Max_SL_TRUNNION_SUS</vt:lpstr>
      <vt:lpstr>Max_STRA_L</vt:lpstr>
      <vt:lpstr>Max_STRB_B</vt:lpstr>
      <vt:lpstr>Max_STRC_W</vt:lpstr>
      <vt:lpstr>Max_Trunnion_diameter</vt:lpstr>
      <vt:lpstr>Maz_zick_saddleangle</vt:lpstr>
      <vt:lpstr>ModelNumber</vt:lpstr>
      <vt:lpstr>MT</vt:lpstr>
      <vt:lpstr>Phi</vt:lpstr>
      <vt:lpstr>Pressure</vt:lpstr>
      <vt:lpstr>Sa</vt:lpstr>
      <vt:lpstr>Saddle_AAngle_Zick</vt:lpstr>
      <vt:lpstr>Saddle_Angle_Roark</vt:lpstr>
      <vt:lpstr>Saddle_Angle_Zick</vt:lpstr>
      <vt:lpstr>Saddle_BAngle_Zick</vt:lpstr>
      <vt:lpstr>Saddle_BAngle_Zick_Deg</vt:lpstr>
      <vt:lpstr>SaddleAngle_Increment</vt:lpstr>
      <vt:lpstr>Sc</vt:lpstr>
      <vt:lpstr>SC_1</vt:lpstr>
      <vt:lpstr>SC_2</vt:lpstr>
      <vt:lpstr>SC_3</vt:lpstr>
      <vt:lpstr>SC_4</vt:lpstr>
      <vt:lpstr>SC_bend</vt:lpstr>
      <vt:lpstr>SC_mem</vt:lpstr>
      <vt:lpstr>SC_STRA</vt:lpstr>
      <vt:lpstr>SC_STRB</vt:lpstr>
      <vt:lpstr>SC_STRC</vt:lpstr>
      <vt:lpstr>SC_Trunnion</vt:lpstr>
      <vt:lpstr>SCb_Qb_Primary</vt:lpstr>
      <vt:lpstr>SCb_QL</vt:lpstr>
      <vt:lpstr>SCm_PL</vt:lpstr>
      <vt:lpstr>SCm_QL</vt:lpstr>
      <vt:lpstr>Sh</vt:lpstr>
      <vt:lpstr>SL_1</vt:lpstr>
      <vt:lpstr>SL_2</vt:lpstr>
      <vt:lpstr>SL_3</vt:lpstr>
      <vt:lpstr>SL_4</vt:lpstr>
      <vt:lpstr>SL_STRA</vt:lpstr>
      <vt:lpstr>SL_STRB</vt:lpstr>
      <vt:lpstr>SL_STRC</vt:lpstr>
      <vt:lpstr>SL_Trunnion</vt:lpstr>
      <vt:lpstr>SLb_Qb_Primary</vt:lpstr>
      <vt:lpstr>SLb_QL</vt:lpstr>
      <vt:lpstr>SLm_PL</vt:lpstr>
      <vt:lpstr>SLm_QL</vt:lpstr>
      <vt:lpstr>SS_1</vt:lpstr>
      <vt:lpstr>SS_2</vt:lpstr>
      <vt:lpstr>SS_3</vt:lpstr>
      <vt:lpstr>SS_4</vt:lpstr>
      <vt:lpstr>SSb_Qb_Primary</vt:lpstr>
      <vt:lpstr>SSb_QL</vt:lpstr>
      <vt:lpstr>SSm_PL</vt:lpstr>
      <vt:lpstr>SSm_QL</vt:lpstr>
      <vt:lpstr>T</vt:lpstr>
      <vt:lpstr>t_STRA</vt:lpstr>
      <vt:lpstr>Tem</vt:lpstr>
      <vt:lpstr>tf_STRC</vt:lpstr>
      <vt:lpstr>tnet_Bare_combination</vt:lpstr>
      <vt:lpstr>Tnet_Bare_Roark</vt:lpstr>
      <vt:lpstr>Tnet_Saddle_Roak</vt:lpstr>
      <vt:lpstr>tnet_Saddle_Zick</vt:lpstr>
      <vt:lpstr>tnet_STRA</vt:lpstr>
      <vt:lpstr>tnet_STRB</vt:lpstr>
      <vt:lpstr>tnet_STRC</vt:lpstr>
      <vt:lpstr>tnet_TRUNNION</vt:lpstr>
      <vt:lpstr>TP_Bare_combination</vt:lpstr>
      <vt:lpstr>TP_Bare_Roark</vt:lpstr>
      <vt:lpstr>TP_Saddle_Roark</vt:lpstr>
      <vt:lpstr>TP_Saddle_Zick</vt:lpstr>
      <vt:lpstr>TP_STRA</vt:lpstr>
      <vt:lpstr>TP_STRB</vt:lpstr>
      <vt:lpstr>TP_STRC</vt:lpstr>
      <vt:lpstr>TP_Trunnion</vt:lpstr>
      <vt:lpstr>tw_STRB</vt:lpstr>
      <vt:lpstr>tw_STRC</vt:lpstr>
      <vt:lpstr>VonMises_1</vt:lpstr>
      <vt:lpstr>VonMises2</vt:lpstr>
      <vt:lpstr>Vonmises3</vt:lpstr>
      <vt:lpstr>VonMises4</vt:lpstr>
      <vt:lpstr>W_STRC</vt:lpstr>
      <vt:lpstr>W_STRC_Increment</vt:lpstr>
      <vt:lpstr>Z_BareRoark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dc:creator>
  <cp:lastModifiedBy>ali khadiv</cp:lastModifiedBy>
  <dcterms:created xsi:type="dcterms:W3CDTF">2015-06-03T16:18:48Z</dcterms:created>
  <dcterms:modified xsi:type="dcterms:W3CDTF">2015-07-04T07:37:22Z</dcterms:modified>
</cp:coreProperties>
</file>